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xr:revisionPtr revIDLastSave="0" documentId="13_ncr:1_{1A2432E9-D0FD-4ACD-8295-4FAF7A45FA43}" xr6:coauthVersionLast="47" xr6:coauthVersionMax="47" xr10:uidLastSave="{00000000-0000-0000-0000-000000000000}"/>
  <bookViews>
    <workbookView xWindow="-120" yWindow="-120" windowWidth="20640" windowHeight="11160" xr2:uid="{00000000-000D-0000-FFFF-FFFF00000000}"/>
  </bookViews>
  <sheets>
    <sheet name="COVER" sheetId="1" r:id="rId1"/>
    <sheet name="Shell Plate Design " sheetId="2" r:id="rId2"/>
    <sheet name="Bottom &amp; Annular plate design" sheetId="3" r:id="rId3"/>
    <sheet name="Roof design" sheetId="13" r:id="rId4"/>
    <sheet name="roof design(2)" sheetId="14" state="hidden" r:id="rId5"/>
    <sheet name="Top Angle" sheetId="4" state="hidden" r:id="rId6"/>
    <sheet name="Top Angle &amp; Intermediate wind g" sheetId="15" r:id="rId7"/>
    <sheet name="Wind overturning stability" sheetId="5" r:id="rId8"/>
    <sheet name="Seismic design" sheetId="6" state="hidden" r:id="rId9"/>
    <sheet name="Seismic design2007" sheetId="16" r:id="rId10"/>
    <sheet name="Anchor Bolt" sheetId="17" r:id="rId11"/>
    <sheet name="Summary" sheetId="19" r:id="rId12"/>
    <sheet name="Anchorage ratio (J)" sheetId="7" state="hidden" r:id="rId13"/>
  </sheets>
  <externalReferences>
    <externalReference r:id="rId14"/>
    <externalReference r:id="rId15"/>
  </externalReferences>
  <definedNames>
    <definedName name="_xlnm.Print_Area" localSheetId="10">'Anchor Bolt'!$A$1:$V$234</definedName>
    <definedName name="_xlnm.Print_Area" localSheetId="12">'Anchorage ratio (J)'!$A$1:$V$489</definedName>
    <definedName name="_xlnm.Print_Area" localSheetId="2">'Bottom &amp; Annular plate design'!$A$1:$V$77</definedName>
    <definedName name="_xlnm.Print_Area" localSheetId="0">COVER!$A$1:$V$236</definedName>
    <definedName name="_xlnm.Print_Area" localSheetId="8">'Seismic design'!$A$1:$V$209</definedName>
    <definedName name="_xlnm.Print_Area" localSheetId="9">'Seismic design2007'!$A$1:$V$493</definedName>
    <definedName name="_xlnm.Print_Area" localSheetId="1">'Shell Plate Design '!$A$1:$V$98</definedName>
    <definedName name="_xlnm.Print_Area" localSheetId="11">Summary!$A$1:$V$52</definedName>
    <definedName name="_xlnm.Print_Area" localSheetId="5">'Top Angle'!$A$1:$V$120</definedName>
    <definedName name="_xlnm.Print_Area" localSheetId="6">'Top Angle &amp; Intermediate wind g'!$A$1:$V$170</definedName>
    <definedName name="_xlnm.Print_Area" localSheetId="7">'Wind overturning stability'!$A$1:$V$94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9" i="3" l="1"/>
  <c r="G37" i="13" l="1"/>
  <c r="J18" i="19"/>
  <c r="J19" i="19" s="1"/>
  <c r="N219" i="17"/>
  <c r="M43" i="13" l="1"/>
  <c r="Q22" i="16"/>
  <c r="B18" i="19" l="1"/>
  <c r="L56" i="15"/>
  <c r="Q72" i="3" l="1"/>
  <c r="O15" i="3"/>
  <c r="Q45" i="1"/>
  <c r="Q92" i="1" s="1"/>
  <c r="Q140" i="1" s="1"/>
  <c r="Q197" i="1" s="1"/>
  <c r="Q8" i="2" l="1"/>
  <c r="Q60" i="2" s="1"/>
  <c r="Q8" i="3" s="1"/>
  <c r="Q53" i="3" s="1"/>
  <c r="Q8" i="13" s="1"/>
  <c r="Q8" i="15" s="1"/>
  <c r="Q52" i="15" s="1"/>
  <c r="Q112" i="15" s="1"/>
  <c r="F53" i="2"/>
  <c r="F46" i="3" s="1"/>
  <c r="F45" i="15" s="1"/>
  <c r="F105" i="15" s="1"/>
  <c r="Q8" i="5" l="1"/>
  <c r="Q53" i="5"/>
  <c r="Q8" i="16" s="1"/>
  <c r="Q64" i="16" s="1"/>
  <c r="Q114" i="16" s="1"/>
  <c r="Q158" i="16" s="1"/>
  <c r="Q211" i="16" s="1"/>
  <c r="Q266" i="16" s="1"/>
  <c r="Q313" i="16" s="1"/>
  <c r="Q371" i="16" s="1"/>
  <c r="Q438" i="16" s="1"/>
  <c r="Q8" i="17" s="1"/>
  <c r="Q61" i="17" s="1"/>
  <c r="Q125" i="17" s="1"/>
  <c r="Q180" i="17" s="1"/>
  <c r="Q8" i="19" s="1"/>
  <c r="F46" i="5"/>
  <c r="F57" i="16" s="1"/>
  <c r="F107" i="16" s="1"/>
  <c r="F151" i="16" s="1"/>
  <c r="F204" i="16" s="1"/>
  <c r="F259" i="16" s="1"/>
  <c r="F306" i="16" s="1"/>
  <c r="F364" i="16" s="1"/>
  <c r="F431" i="16" s="1"/>
  <c r="F54" i="17" s="1"/>
  <c r="F118" i="17" s="1"/>
  <c r="F173" i="17" s="1"/>
  <c r="O188" i="17"/>
  <c r="D67" i="2"/>
  <c r="L67" i="2" s="1"/>
  <c r="D68" i="2"/>
  <c r="L68" i="2" s="1"/>
  <c r="D69" i="2"/>
  <c r="L69" i="2" s="1"/>
  <c r="D70" i="2"/>
  <c r="L70" i="2" s="1"/>
  <c r="D71" i="2"/>
  <c r="L71" i="2" s="1"/>
  <c r="S71" i="2" s="1"/>
  <c r="D66" i="2"/>
  <c r="L66" i="2" s="1"/>
  <c r="R44" i="1"/>
  <c r="R91" i="1" s="1"/>
  <c r="R139" i="1" s="1"/>
  <c r="R196" i="1" s="1"/>
  <c r="R7" i="2" s="1"/>
  <c r="R59" i="2" s="1"/>
  <c r="R7" i="3" s="1"/>
  <c r="R52" i="3" s="1"/>
  <c r="R7" i="13" s="1"/>
  <c r="R7" i="15" s="1"/>
  <c r="R51" i="15" s="1"/>
  <c r="R111" i="15" s="1"/>
  <c r="R7" i="5" s="1"/>
  <c r="R52" i="5" s="1"/>
  <c r="R7" i="16" s="1"/>
  <c r="R63" i="16" s="1"/>
  <c r="I17" i="19"/>
  <c r="H201" i="16"/>
  <c r="E201" i="16"/>
  <c r="D140" i="16"/>
  <c r="B105" i="16"/>
  <c r="F90" i="15"/>
  <c r="I21" i="19"/>
  <c r="I52" i="17"/>
  <c r="Q29" i="16"/>
  <c r="Q31" i="16"/>
  <c r="Q30" i="16"/>
  <c r="Q23" i="16"/>
  <c r="Q16" i="16"/>
  <c r="K156" i="15"/>
  <c r="K158" i="15" s="1"/>
  <c r="K160" i="15" s="1"/>
  <c r="T153" i="15"/>
  <c r="E153" i="15"/>
  <c r="K144" i="15"/>
  <c r="N153" i="15" s="1"/>
  <c r="C134" i="15"/>
  <c r="C126" i="15"/>
  <c r="C124" i="15"/>
  <c r="Q32" i="16" l="1"/>
  <c r="R157" i="16"/>
  <c r="R210" i="16" s="1"/>
  <c r="R265" i="16" s="1"/>
  <c r="R312" i="16" s="1"/>
  <c r="R370" i="16" s="1"/>
  <c r="R437" i="16" s="1"/>
  <c r="R7" i="17" s="1"/>
  <c r="R60" i="17" s="1"/>
  <c r="R124" i="17" s="1"/>
  <c r="R179" i="17" s="1"/>
  <c r="R113" i="16"/>
  <c r="Q153" i="15"/>
  <c r="K143" i="15"/>
  <c r="H153" i="15" s="1"/>
  <c r="K153" i="15" s="1"/>
  <c r="M27" i="13" l="1"/>
  <c r="O27" i="13" s="1"/>
  <c r="D11" i="13"/>
  <c r="F12" i="3"/>
  <c r="J43" i="3" s="1"/>
  <c r="L43" i="3" s="1"/>
  <c r="G215" i="1"/>
  <c r="H170" i="1"/>
  <c r="F43" i="1"/>
  <c r="F90" i="1" s="1"/>
  <c r="F138" i="1" s="1"/>
  <c r="F195" i="1" s="1"/>
  <c r="F58" i="2" s="1"/>
  <c r="F51" i="3" s="1"/>
  <c r="T44" i="1"/>
  <c r="T91" i="1" s="1"/>
  <c r="T139" i="1" s="1"/>
  <c r="N161" i="17"/>
  <c r="N155" i="17"/>
  <c r="Q326" i="16"/>
  <c r="T97" i="1" l="1"/>
  <c r="T196" i="1"/>
  <c r="F50" i="15"/>
  <c r="F110" i="15" s="1"/>
  <c r="F51" i="5" s="1"/>
  <c r="F62" i="16" s="1"/>
  <c r="F112" i="16" s="1"/>
  <c r="F156" i="16" s="1"/>
  <c r="F209" i="16" s="1"/>
  <c r="F264" i="16" s="1"/>
  <c r="F311" i="16" s="1"/>
  <c r="F369" i="16" s="1"/>
  <c r="F436" i="16" s="1"/>
  <c r="F59" i="17" s="1"/>
  <c r="F123" i="17" s="1"/>
  <c r="F178" i="17" s="1"/>
  <c r="K13" i="3"/>
  <c r="M13" i="3" s="1"/>
  <c r="Q21" i="16"/>
  <c r="T98" i="1" l="1"/>
  <c r="T7" i="2"/>
  <c r="C58" i="3"/>
  <c r="H67" i="3" s="1"/>
  <c r="F41" i="3"/>
  <c r="S33" i="3"/>
  <c r="G39" i="2"/>
  <c r="T59" i="2" l="1"/>
  <c r="T99" i="1"/>
  <c r="F88" i="15"/>
  <c r="F86" i="15"/>
  <c r="F84" i="15"/>
  <c r="F82" i="15"/>
  <c r="F80" i="15"/>
  <c r="J63" i="3"/>
  <c r="J61" i="3"/>
  <c r="J60" i="3"/>
  <c r="AA19" i="2"/>
  <c r="T7" i="3" l="1"/>
  <c r="T100" i="1"/>
  <c r="R99" i="17"/>
  <c r="F62" i="17"/>
  <c r="T52" i="3" l="1"/>
  <c r="T101" i="1"/>
  <c r="H197" i="16"/>
  <c r="H198" i="16"/>
  <c r="H199" i="16"/>
  <c r="H200" i="16"/>
  <c r="H196" i="16"/>
  <c r="F91" i="16"/>
  <c r="J67" i="2"/>
  <c r="J68" i="2" s="1"/>
  <c r="J69" i="2" s="1"/>
  <c r="J70" i="2" s="1"/>
  <c r="J71" i="2" s="1"/>
  <c r="F228" i="1"/>
  <c r="G221" i="1"/>
  <c r="G219" i="1"/>
  <c r="G211" i="1"/>
  <c r="H202" i="16" l="1"/>
  <c r="T7" i="13"/>
  <c r="T102" i="1"/>
  <c r="F229" i="1"/>
  <c r="H66" i="2"/>
  <c r="K201" i="16"/>
  <c r="K200" i="16"/>
  <c r="K199" i="16"/>
  <c r="K198" i="16"/>
  <c r="K197" i="16"/>
  <c r="T7" i="15" l="1"/>
  <c r="T103" i="1"/>
  <c r="F230" i="1"/>
  <c r="H67" i="2"/>
  <c r="I20" i="19"/>
  <c r="T51" i="15" l="1"/>
  <c r="T111" i="15" s="1"/>
  <c r="T104" i="1"/>
  <c r="F231" i="1"/>
  <c r="H68" i="2"/>
  <c r="I51" i="17"/>
  <c r="C491" i="16"/>
  <c r="G491" i="16"/>
  <c r="T7" i="5" l="1"/>
  <c r="T105" i="1"/>
  <c r="F232" i="1"/>
  <c r="H69" i="2"/>
  <c r="G489" i="16"/>
  <c r="K490" i="16" s="1"/>
  <c r="C489" i="16"/>
  <c r="B101" i="16"/>
  <c r="B102" i="16"/>
  <c r="B103" i="16"/>
  <c r="B104" i="16"/>
  <c r="B100" i="16"/>
  <c r="G130" i="16"/>
  <c r="H100" i="16" s="1"/>
  <c r="H24" i="15"/>
  <c r="H25" i="15" s="1"/>
  <c r="H70" i="2" l="1"/>
  <c r="F233" i="1"/>
  <c r="H71" i="2" s="1"/>
  <c r="T106" i="1"/>
  <c r="T52" i="5"/>
  <c r="T7" i="16" s="1"/>
  <c r="M20" i="19"/>
  <c r="D51" i="17"/>
  <c r="T107" i="1" l="1"/>
  <c r="T63" i="16"/>
  <c r="T113" i="16" s="1"/>
  <c r="T157" i="16" s="1"/>
  <c r="T210" i="16" s="1"/>
  <c r="T265" i="16" s="1"/>
  <c r="T312" i="16" s="1"/>
  <c r="T370" i="16" s="1"/>
  <c r="T437" i="16" s="1"/>
  <c r="T7" i="17" s="1"/>
  <c r="B100" i="1"/>
  <c r="S70" i="2"/>
  <c r="S69" i="2"/>
  <c r="S68" i="2"/>
  <c r="S67" i="2"/>
  <c r="S66" i="2"/>
  <c r="H64" i="2"/>
  <c r="T60" i="17" l="1"/>
  <c r="T124" i="17" s="1"/>
  <c r="T179" i="17" s="1"/>
  <c r="T7" i="19" s="1"/>
  <c r="T109" i="1" s="1"/>
  <c r="T108" i="1"/>
  <c r="U51" i="17"/>
  <c r="L51" i="17"/>
  <c r="M21" i="19" l="1"/>
  <c r="I19" i="19" l="1"/>
  <c r="I18" i="19"/>
  <c r="R84" i="17" l="1"/>
  <c r="B108" i="1" l="1"/>
  <c r="B107" i="1"/>
  <c r="B106" i="1"/>
  <c r="B105" i="1"/>
  <c r="B104" i="1"/>
  <c r="B103" i="1"/>
  <c r="B102" i="1"/>
  <c r="B101" i="1"/>
  <c r="B99" i="1"/>
  <c r="B98" i="1"/>
  <c r="B97" i="1"/>
  <c r="B99" i="16" l="1"/>
  <c r="S233" i="17"/>
  <c r="N217" i="17"/>
  <c r="V219" i="17"/>
  <c r="V217" i="17"/>
  <c r="V218" i="17" s="1"/>
  <c r="P217" i="17"/>
  <c r="P218" i="17" s="1"/>
  <c r="P219" i="17" s="1"/>
  <c r="S214" i="17"/>
  <c r="N209" i="17"/>
  <c r="N218" i="17" s="1"/>
  <c r="O184" i="17"/>
  <c r="S184" i="17" s="1"/>
  <c r="O39" i="13"/>
  <c r="O37" i="13"/>
  <c r="S158" i="17"/>
  <c r="S161" i="17"/>
  <c r="S162" i="17"/>
  <c r="S163" i="17"/>
  <c r="S164" i="17"/>
  <c r="S165" i="17"/>
  <c r="S152" i="17"/>
  <c r="S150" i="17"/>
  <c r="O190" i="17"/>
  <c r="S190" i="17" s="1"/>
  <c r="O200" i="17" s="1"/>
  <c r="N166" i="17"/>
  <c r="S166" i="17" s="1"/>
  <c r="N154" i="17"/>
  <c r="N151" i="17"/>
  <c r="N149" i="17"/>
  <c r="N167" i="17" s="1"/>
  <c r="S151" i="17" l="1"/>
  <c r="O38" i="13"/>
  <c r="E37" i="13" s="1"/>
  <c r="S188" i="17"/>
  <c r="S191" i="17" s="1"/>
  <c r="N156" i="17"/>
  <c r="O189" i="17"/>
  <c r="S189" i="17" s="1"/>
  <c r="S209" i="17"/>
  <c r="S219" i="17"/>
  <c r="S218" i="17"/>
  <c r="S155" i="17"/>
  <c r="S168" i="17"/>
  <c r="S167" i="17"/>
  <c r="Q30" i="13"/>
  <c r="O191" i="17" l="1"/>
  <c r="Q28" i="13"/>
  <c r="Q29" i="13" s="1"/>
  <c r="N159" i="17"/>
  <c r="S159" i="17" s="1"/>
  <c r="S156" i="17"/>
  <c r="E40" i="13"/>
  <c r="R163" i="16" l="1"/>
  <c r="R82" i="17"/>
  <c r="Q31" i="13"/>
  <c r="M19" i="19"/>
  <c r="R179" i="16"/>
  <c r="H179" i="16"/>
  <c r="R228" i="16"/>
  <c r="I228" i="16"/>
  <c r="S246" i="16"/>
  <c r="I246" i="16"/>
  <c r="Q26" i="13" l="1"/>
  <c r="Q32" i="13" s="1"/>
  <c r="C148" i="16" l="1"/>
  <c r="C147" i="16"/>
  <c r="D138" i="16" l="1"/>
  <c r="D136" i="16"/>
  <c r="D134" i="16"/>
  <c r="D132" i="16"/>
  <c r="D130" i="16"/>
  <c r="G132" i="16" s="1"/>
  <c r="G134" i="16" l="1"/>
  <c r="H102" i="16" s="1"/>
  <c r="H101" i="16"/>
  <c r="G136" i="16" l="1"/>
  <c r="G138" i="16" s="1"/>
  <c r="G40" i="2"/>
  <c r="H104" i="16" l="1"/>
  <c r="G140" i="16"/>
  <c r="H105" i="16" s="1"/>
  <c r="H103" i="16"/>
  <c r="G41" i="2"/>
  <c r="X63" i="4"/>
  <c r="O68" i="17"/>
  <c r="O69" i="17" s="1"/>
  <c r="O67" i="17"/>
  <c r="O73" i="17" s="1"/>
  <c r="O66" i="17"/>
  <c r="L70" i="17"/>
  <c r="L71" i="17" s="1"/>
  <c r="L73" i="17" s="1"/>
  <c r="L68" i="17"/>
  <c r="L69" i="17" s="1"/>
  <c r="L67" i="17"/>
  <c r="L72" i="17" s="1"/>
  <c r="L66" i="17"/>
  <c r="R97" i="17"/>
  <c r="R79" i="17"/>
  <c r="G42" i="2" l="1"/>
  <c r="O72" i="17"/>
  <c r="O70" i="17"/>
  <c r="O71" i="17"/>
  <c r="G43" i="2" l="1"/>
  <c r="G44" i="2" s="1"/>
  <c r="P384" i="16"/>
  <c r="N324" i="16" l="1"/>
  <c r="P398" i="16" l="1"/>
  <c r="E395" i="16" s="1"/>
  <c r="R191" i="16"/>
  <c r="J147" i="16"/>
  <c r="I147" i="16"/>
  <c r="Q36" i="16"/>
  <c r="Q34" i="16"/>
  <c r="L130" i="16" l="1"/>
  <c r="D105" i="16"/>
  <c r="L140" i="16"/>
  <c r="I49" i="17"/>
  <c r="N201" i="16"/>
  <c r="Q201" i="16" s="1"/>
  <c r="P335" i="16"/>
  <c r="L134" i="16"/>
  <c r="L136" i="16"/>
  <c r="L138" i="16"/>
  <c r="L132" i="16"/>
  <c r="D102" i="16"/>
  <c r="D101" i="16"/>
  <c r="D103" i="16"/>
  <c r="D100" i="16"/>
  <c r="D104" i="16"/>
  <c r="K196" i="16"/>
  <c r="K202" i="16" s="1"/>
  <c r="M230" i="16"/>
  <c r="K53" i="17"/>
  <c r="M53" i="17" s="1"/>
  <c r="F88" i="16"/>
  <c r="H140" i="16" s="1"/>
  <c r="R78" i="17"/>
  <c r="Q24" i="16"/>
  <c r="Q25" i="16" s="1"/>
  <c r="C248" i="16"/>
  <c r="J253" i="16"/>
  <c r="R144" i="16"/>
  <c r="N248" i="16"/>
  <c r="K236" i="16"/>
  <c r="R167" i="16"/>
  <c r="R187" i="16" s="1"/>
  <c r="C230" i="16"/>
  <c r="L169" i="16"/>
  <c r="R214" i="16"/>
  <c r="F90" i="16" l="1"/>
  <c r="J140" i="16" s="1"/>
  <c r="F89" i="16"/>
  <c r="S89" i="16"/>
  <c r="S90" i="16"/>
  <c r="H473" i="16"/>
  <c r="H130" i="16"/>
  <c r="H132" i="16"/>
  <c r="H134" i="16"/>
  <c r="H472" i="16"/>
  <c r="E446" i="16" s="1"/>
  <c r="R486" i="16" s="1"/>
  <c r="H136" i="16"/>
  <c r="H138" i="16"/>
  <c r="E486" i="16"/>
  <c r="B85" i="16"/>
  <c r="F470" i="16"/>
  <c r="L181" i="16"/>
  <c r="C181" i="16"/>
  <c r="M490" i="16" l="1"/>
  <c r="J132" i="16"/>
  <c r="J134" i="16"/>
  <c r="J136" i="16"/>
  <c r="J138" i="16"/>
  <c r="J130" i="16"/>
  <c r="P273" i="16"/>
  <c r="M473" i="16"/>
  <c r="M472" i="16"/>
  <c r="R75" i="17"/>
  <c r="P325" i="16"/>
  <c r="G321" i="16" s="1"/>
  <c r="I323" i="16" l="1"/>
  <c r="U320" i="16" s="1"/>
  <c r="U321" i="16"/>
  <c r="G320" i="16" l="1"/>
  <c r="G67" i="14"/>
  <c r="G68" i="14"/>
  <c r="G65" i="14"/>
  <c r="G69" i="14" l="1"/>
  <c r="O57" i="14" s="1"/>
  <c r="G70" i="14"/>
  <c r="O61" i="14" l="1"/>
  <c r="L70" i="14"/>
  <c r="N72" i="14" s="1"/>
  <c r="F48" i="14" l="1"/>
  <c r="J28" i="14"/>
  <c r="M33" i="3"/>
  <c r="K22" i="2" l="1"/>
  <c r="K21" i="2"/>
  <c r="K20" i="2"/>
  <c r="K19" i="2"/>
  <c r="J62" i="3" s="1"/>
  <c r="C65" i="3" s="1"/>
  <c r="D66" i="3" s="1"/>
  <c r="F67" i="3" s="1"/>
  <c r="L67" i="3" s="1"/>
  <c r="K18" i="2"/>
  <c r="U40" i="2" l="1"/>
  <c r="U44" i="2"/>
  <c r="U41" i="2"/>
  <c r="U39" i="2"/>
  <c r="U47" i="2" s="1"/>
  <c r="U42" i="2"/>
  <c r="U43" i="2"/>
  <c r="J90" i="15"/>
  <c r="S44" i="2"/>
  <c r="M17" i="19" s="1"/>
  <c r="M44" i="2"/>
  <c r="J44" i="2"/>
  <c r="O33" i="3"/>
  <c r="J88" i="15"/>
  <c r="J86" i="15"/>
  <c r="F136" i="16" s="1"/>
  <c r="O42" i="2" s="1"/>
  <c r="J84" i="15"/>
  <c r="F134" i="16" s="1"/>
  <c r="O41" i="2" s="1"/>
  <c r="J82" i="15"/>
  <c r="F132" i="16" s="1"/>
  <c r="J80" i="15"/>
  <c r="R165" i="16"/>
  <c r="M18" i="19"/>
  <c r="S40" i="2"/>
  <c r="S41" i="2"/>
  <c r="S42" i="2"/>
  <c r="S43" i="2"/>
  <c r="S39" i="2"/>
  <c r="M39" i="2"/>
  <c r="J39" i="2"/>
  <c r="M40" i="2"/>
  <c r="J40" i="2"/>
  <c r="J41" i="2"/>
  <c r="M41" i="2"/>
  <c r="M42" i="2"/>
  <c r="J42" i="2"/>
  <c r="M43" i="2"/>
  <c r="J43" i="2"/>
  <c r="S47" i="2" l="1"/>
  <c r="S50" i="2"/>
  <c r="F130" i="16"/>
  <c r="O39" i="2" s="1"/>
  <c r="E196" i="16" s="1"/>
  <c r="N196" i="16" s="1"/>
  <c r="N80" i="15"/>
  <c r="F138" i="16"/>
  <c r="O43" i="2" s="1"/>
  <c r="E200" i="16" s="1"/>
  <c r="N200" i="16" s="1"/>
  <c r="Q200" i="16" s="1"/>
  <c r="F140" i="16"/>
  <c r="Q132" i="16"/>
  <c r="N132" i="16"/>
  <c r="Q134" i="16"/>
  <c r="N134" i="16"/>
  <c r="N136" i="16"/>
  <c r="Q136" i="16"/>
  <c r="O40" i="2"/>
  <c r="I13" i="19" s="1"/>
  <c r="M16" i="19"/>
  <c r="M15" i="19"/>
  <c r="M14" i="19"/>
  <c r="I14" i="19"/>
  <c r="E198" i="16"/>
  <c r="N198" i="16" s="1"/>
  <c r="Q198" i="16" s="1"/>
  <c r="I15" i="19"/>
  <c r="E199" i="16"/>
  <c r="N199" i="16" s="1"/>
  <c r="Q199" i="16" s="1"/>
  <c r="M13" i="19"/>
  <c r="N153" i="17"/>
  <c r="M12" i="19"/>
  <c r="Q130" i="6"/>
  <c r="I12" i="19" l="1"/>
  <c r="N130" i="16"/>
  <c r="N138" i="16"/>
  <c r="Q130" i="16"/>
  <c r="P383" i="16"/>
  <c r="E394" i="16" s="1"/>
  <c r="Q138" i="16"/>
  <c r="I16" i="19"/>
  <c r="Q196" i="16"/>
  <c r="N140" i="16"/>
  <c r="Q140" i="16"/>
  <c r="T132" i="16"/>
  <c r="V132" i="16" s="1"/>
  <c r="N157" i="17"/>
  <c r="N169" i="17"/>
  <c r="E197" i="16"/>
  <c r="N197" i="16" s="1"/>
  <c r="Q197" i="16" s="1"/>
  <c r="N88" i="15"/>
  <c r="R88" i="15" s="1"/>
  <c r="N86" i="15"/>
  <c r="R86" i="15" s="1"/>
  <c r="N82" i="15"/>
  <c r="N84" i="15"/>
  <c r="R84" i="15" s="1"/>
  <c r="T136" i="16"/>
  <c r="V136" i="16" s="1"/>
  <c r="T134" i="16"/>
  <c r="V134" i="16" s="1"/>
  <c r="S153" i="17"/>
  <c r="P385" i="16"/>
  <c r="P397" i="16" s="1"/>
  <c r="R129" i="7"/>
  <c r="O129" i="7"/>
  <c r="L113" i="7"/>
  <c r="J115" i="7"/>
  <c r="J117" i="7"/>
  <c r="J119" i="7"/>
  <c r="J121" i="7"/>
  <c r="J123" i="7"/>
  <c r="J125" i="7"/>
  <c r="J113" i="7"/>
  <c r="T73" i="7"/>
  <c r="T75" i="7"/>
  <c r="T71" i="7"/>
  <c r="H115" i="7"/>
  <c r="L115" i="7" s="1"/>
  <c r="F119" i="7"/>
  <c r="F121" i="7"/>
  <c r="F123" i="7"/>
  <c r="F125" i="7"/>
  <c r="F117" i="7"/>
  <c r="F115" i="7"/>
  <c r="F113" i="7"/>
  <c r="H65" i="7"/>
  <c r="H64" i="7"/>
  <c r="G62" i="7"/>
  <c r="R60" i="7"/>
  <c r="M60" i="7"/>
  <c r="G58" i="7"/>
  <c r="T138" i="16" l="1"/>
  <c r="V138" i="16" s="1"/>
  <c r="N142" i="16"/>
  <c r="N90" i="15"/>
  <c r="R90" i="15" s="1"/>
  <c r="K145" i="15"/>
  <c r="T130" i="16"/>
  <c r="V130" i="16" s="1"/>
  <c r="T140" i="16"/>
  <c r="V140" i="16" s="1"/>
  <c r="N202" i="16"/>
  <c r="Q202" i="16"/>
  <c r="R82" i="15"/>
  <c r="K387" i="16"/>
  <c r="B387" i="16"/>
  <c r="F400" i="16"/>
  <c r="N160" i="17"/>
  <c r="S160" i="17" s="1"/>
  <c r="S157" i="17"/>
  <c r="S169" i="17"/>
  <c r="O195" i="17"/>
  <c r="N115" i="7"/>
  <c r="S115" i="7" s="1"/>
  <c r="H117" i="7"/>
  <c r="K146" i="15" l="1"/>
  <c r="E152" i="15" s="1"/>
  <c r="E154" i="15" s="1"/>
  <c r="H152" i="15"/>
  <c r="N117" i="7"/>
  <c r="L117" i="7"/>
  <c r="P115" i="7"/>
  <c r="H119" i="7"/>
  <c r="H154" i="15" l="1"/>
  <c r="K152" i="15"/>
  <c r="K154" i="15" s="1"/>
  <c r="I156" i="15" s="1"/>
  <c r="N152" i="15"/>
  <c r="T152" i="15"/>
  <c r="T154" i="15" s="1"/>
  <c r="N119" i="7"/>
  <c r="L119" i="7"/>
  <c r="S117" i="7"/>
  <c r="P117" i="7"/>
  <c r="H121" i="7"/>
  <c r="Q152" i="15" l="1"/>
  <c r="Q154" i="15" s="1"/>
  <c r="I158" i="15" s="1"/>
  <c r="N154" i="15"/>
  <c r="I160" i="15"/>
  <c r="L121" i="7"/>
  <c r="N121" i="7"/>
  <c r="S119" i="7"/>
  <c r="P119" i="7"/>
  <c r="H123" i="7"/>
  <c r="N158" i="15" l="1"/>
  <c r="N157" i="15"/>
  <c r="S121" i="7"/>
  <c r="L123" i="7"/>
  <c r="N123" i="7"/>
  <c r="H125" i="7"/>
  <c r="P121" i="7"/>
  <c r="I162" i="15" l="1"/>
  <c r="H167" i="15" s="1"/>
  <c r="N125" i="7"/>
  <c r="L125" i="7"/>
  <c r="S123" i="7"/>
  <c r="P123" i="7"/>
  <c r="S125" i="7" l="1"/>
  <c r="P125" i="7"/>
  <c r="D172" i="6" l="1"/>
  <c r="P168" i="6"/>
  <c r="P169" i="6"/>
  <c r="P170" i="6"/>
  <c r="P171" i="6"/>
  <c r="P172" i="6"/>
  <c r="P173" i="6"/>
  <c r="P167" i="6"/>
  <c r="N173" i="6"/>
  <c r="N172" i="6"/>
  <c r="N171" i="6"/>
  <c r="N170" i="6"/>
  <c r="N169" i="6"/>
  <c r="N168" i="6"/>
  <c r="N167" i="6"/>
  <c r="Q128" i="6"/>
  <c r="P174" i="6" l="1"/>
  <c r="R173" i="6"/>
  <c r="R169" i="6"/>
  <c r="R170" i="6"/>
  <c r="R172" i="6"/>
  <c r="R168" i="6"/>
  <c r="R171" i="6"/>
  <c r="R167" i="6"/>
  <c r="Q126" i="6"/>
  <c r="D105" i="6"/>
  <c r="Q60" i="6"/>
  <c r="P56" i="6" s="1"/>
  <c r="E56" i="6" s="1"/>
  <c r="R174" i="6" l="1"/>
  <c r="D169" i="6" s="1"/>
  <c r="T137" i="6"/>
  <c r="Q176" i="6" s="1"/>
  <c r="J116" i="6"/>
  <c r="P154" i="6"/>
  <c r="L158" i="6"/>
  <c r="Q184" i="6" s="1"/>
  <c r="F105" i="6"/>
  <c r="J77" i="5"/>
  <c r="G75" i="5"/>
  <c r="E75" i="5"/>
  <c r="T79" i="5" l="1"/>
  <c r="J78" i="5"/>
  <c r="J79" i="5" s="1"/>
  <c r="J80" i="5" s="1"/>
  <c r="J154" i="6"/>
  <c r="M154" i="6"/>
  <c r="D134" i="6"/>
  <c r="L150" i="6" l="1"/>
  <c r="Q182" i="6" s="1"/>
  <c r="L163" i="6"/>
  <c r="L57" i="15"/>
  <c r="C122" i="15" s="1"/>
  <c r="R80" i="15"/>
  <c r="R92" i="15" s="1"/>
  <c r="D103" i="15" s="1"/>
  <c r="N113" i="7" l="1"/>
  <c r="S113" i="7" s="1"/>
  <c r="P113" i="7" l="1"/>
  <c r="P127" i="7" s="1"/>
  <c r="C75" i="5" l="1"/>
  <c r="L58" i="15"/>
  <c r="L61" i="15" s="1"/>
  <c r="Q33" i="3"/>
  <c r="G37" i="3" s="1"/>
  <c r="K33" i="3"/>
  <c r="F35" i="3" s="1"/>
  <c r="T70" i="5" l="1"/>
  <c r="T72" i="5" s="1"/>
  <c r="T71" i="5"/>
  <c r="R76" i="17" s="1"/>
  <c r="L59" i="15"/>
  <c r="C130" i="15"/>
  <c r="D312" i="7"/>
  <c r="P318" i="7"/>
  <c r="T73" i="5" l="1"/>
  <c r="P75" i="5" s="1"/>
  <c r="L63" i="15"/>
  <c r="C128" i="15"/>
  <c r="C120" i="15" s="1"/>
  <c r="K167" i="15" s="1"/>
  <c r="P77" i="5"/>
  <c r="M32" i="19" s="1"/>
  <c r="R77" i="17"/>
  <c r="R86" i="17" s="1"/>
  <c r="R308" i="7"/>
  <c r="D314" i="7" s="1"/>
  <c r="F1" i="14"/>
  <c r="P74" i="5" l="1"/>
  <c r="P76" i="5" s="1"/>
  <c r="M33" i="19" s="1"/>
  <c r="M88" i="5" l="1"/>
  <c r="K93" i="5" s="1"/>
  <c r="F53" i="14"/>
  <c r="F6" i="14"/>
  <c r="P323" i="7"/>
  <c r="P324" i="7" s="1"/>
  <c r="P325" i="7" s="1"/>
  <c r="P322" i="7"/>
  <c r="P321" i="7"/>
  <c r="P320" i="7"/>
  <c r="P319" i="7"/>
  <c r="R85" i="17" l="1"/>
  <c r="M86" i="5"/>
  <c r="M84" i="5"/>
  <c r="A6" i="14"/>
  <c r="M325" i="7"/>
  <c r="M324" i="7"/>
  <c r="M323" i="7"/>
  <c r="M322" i="7"/>
  <c r="M321" i="7"/>
  <c r="M320" i="7"/>
  <c r="M319" i="7"/>
  <c r="M318" i="7"/>
  <c r="F6" i="6" l="1"/>
  <c r="F6" i="7" s="1"/>
  <c r="F53" i="7" s="1"/>
  <c r="F100" i="7" s="1"/>
  <c r="F149" i="7" s="1"/>
  <c r="F196" i="7" s="1"/>
  <c r="F243" i="7" s="1"/>
  <c r="F290" i="7" s="1"/>
  <c r="F336" i="7" s="1"/>
  <c r="F380" i="7" s="1"/>
  <c r="F427" i="7" s="1"/>
  <c r="F474" i="7" s="1"/>
  <c r="A53" i="14"/>
  <c r="F53" i="6" l="1"/>
  <c r="F100" i="6" s="1"/>
  <c r="F147" i="6" s="1"/>
  <c r="F194" i="6" s="1"/>
  <c r="J38" i="14"/>
  <c r="J32" i="14"/>
  <c r="J40" i="14" l="1"/>
  <c r="J42" i="14" s="1"/>
  <c r="A6" i="6"/>
  <c r="G79" i="14" l="1"/>
  <c r="R81" i="17"/>
  <c r="A6" i="7"/>
  <c r="A53" i="7" s="1"/>
  <c r="A100" i="7" s="1"/>
  <c r="A149" i="7" s="1"/>
  <c r="A196" i="7" s="1"/>
  <c r="A243" i="7" s="1"/>
  <c r="A290" i="7" s="1"/>
  <c r="A336" i="7" s="1"/>
  <c r="A380" i="7" s="1"/>
  <c r="A53" i="6"/>
  <c r="A100" i="6" s="1"/>
  <c r="Q124" i="6"/>
  <c r="A147" i="6" l="1"/>
  <c r="A194" i="6"/>
  <c r="A474" i="7"/>
  <c r="A427" i="7"/>
  <c r="J78" i="14"/>
  <c r="J74" i="14"/>
  <c r="Q180" i="6"/>
  <c r="R110" i="4"/>
  <c r="R112" i="4"/>
  <c r="R114" i="4"/>
  <c r="R108" i="4"/>
  <c r="R106" i="4"/>
  <c r="R116" i="4" l="1"/>
  <c r="J103" i="15" l="1"/>
  <c r="B97" i="15" l="1"/>
  <c r="H100" i="15"/>
  <c r="M24" i="19"/>
  <c r="M25" i="19" s="1"/>
  <c r="R94" i="17" l="1"/>
  <c r="K310" i="7"/>
  <c r="G324" i="7" s="1"/>
  <c r="J324" i="7" s="1"/>
  <c r="R88" i="17"/>
  <c r="R91" i="17" s="1"/>
  <c r="T78" i="5"/>
  <c r="Q84" i="5" s="1"/>
  <c r="T84" i="5" s="1"/>
  <c r="K314" i="7"/>
  <c r="G321" i="7" s="1"/>
  <c r="J321" i="7" s="1"/>
  <c r="R161" i="16"/>
  <c r="Q122" i="6"/>
  <c r="D56" i="7" s="1"/>
  <c r="M26" i="19"/>
  <c r="M27" i="19"/>
  <c r="I212" i="16"/>
  <c r="R193" i="16" s="1"/>
  <c r="Q149" i="16"/>
  <c r="P271" i="16" l="1"/>
  <c r="L269" i="16" s="1"/>
  <c r="O420" i="16" s="1"/>
  <c r="L422" i="16" s="1"/>
  <c r="B425" i="16" s="1"/>
  <c r="D280" i="16"/>
  <c r="D287" i="16"/>
  <c r="M31" i="19" s="1"/>
  <c r="F70" i="17"/>
  <c r="Q70" i="17" s="1"/>
  <c r="F66" i="17"/>
  <c r="I66" i="17" s="1"/>
  <c r="F72" i="17"/>
  <c r="I72" i="17" s="1"/>
  <c r="F67" i="17"/>
  <c r="Q67" i="17" s="1"/>
  <c r="F69" i="17"/>
  <c r="I69" i="17" s="1"/>
  <c r="F68" i="17"/>
  <c r="Q68" i="17" s="1"/>
  <c r="R332" i="16"/>
  <c r="G318" i="7"/>
  <c r="J318" i="7" s="1"/>
  <c r="K312" i="7"/>
  <c r="G322" i="7" s="1"/>
  <c r="J322" i="7" s="1"/>
  <c r="G319" i="7"/>
  <c r="J319" i="7" s="1"/>
  <c r="I413" i="16"/>
  <c r="Q86" i="5"/>
  <c r="Q178" i="6"/>
  <c r="D182" i="6" s="1"/>
  <c r="G320" i="7"/>
  <c r="J320" i="7" s="1"/>
  <c r="Q186" i="6"/>
  <c r="D132" i="6"/>
  <c r="R132" i="6" s="1"/>
  <c r="N207" i="7" s="1"/>
  <c r="D207" i="7"/>
  <c r="M29" i="19"/>
  <c r="P84" i="5"/>
  <c r="Q88" i="5"/>
  <c r="T88" i="5" s="1"/>
  <c r="B416" i="16" l="1"/>
  <c r="P86" i="5"/>
  <c r="T86" i="5"/>
  <c r="Q66" i="17"/>
  <c r="Q69" i="17"/>
  <c r="K329" i="16"/>
  <c r="M329" i="16" s="1"/>
  <c r="I68" i="17"/>
  <c r="I67" i="17"/>
  <c r="D204" i="6"/>
  <c r="Q72" i="17"/>
  <c r="I70" i="17"/>
  <c r="P386" i="16"/>
  <c r="F402" i="16" s="1"/>
  <c r="B209" i="7"/>
  <c r="L207" i="7"/>
  <c r="R87" i="17"/>
  <c r="M30" i="19"/>
  <c r="N170" i="17"/>
  <c r="P93" i="5"/>
  <c r="T93" i="5" s="1"/>
  <c r="P88" i="5"/>
  <c r="K64" i="7"/>
  <c r="K306" i="7"/>
  <c r="L167" i="7"/>
  <c r="F71" i="17" l="1"/>
  <c r="F73" i="17"/>
  <c r="I71" i="17"/>
  <c r="S71" i="17" s="1"/>
  <c r="G325" i="7"/>
  <c r="J325" i="7" s="1"/>
  <c r="R325" i="7" s="1"/>
  <c r="T325" i="7" s="1"/>
  <c r="G323" i="7"/>
  <c r="J323" i="7" s="1"/>
  <c r="R323" i="7" s="1"/>
  <c r="T323" i="7" s="1"/>
  <c r="T326" i="7" s="1"/>
  <c r="Q73" i="17"/>
  <c r="I73" i="17"/>
  <c r="S73" i="17" s="1"/>
  <c r="O93" i="5"/>
  <c r="O182" i="17" l="1"/>
  <c r="O183" i="17" s="1"/>
  <c r="Q71" i="17"/>
  <c r="S74" i="17"/>
  <c r="N104" i="17" s="1"/>
  <c r="O186" i="17" l="1"/>
  <c r="S183" i="17"/>
  <c r="S186" i="17" l="1"/>
  <c r="S193" i="17" s="1"/>
  <c r="O193" i="17"/>
  <c r="N227" i="17" l="1"/>
  <c r="N225" i="17"/>
  <c r="O199" i="17"/>
  <c r="S227" i="17"/>
  <c r="S212" i="17"/>
  <c r="N212" i="17" s="1"/>
  <c r="P221" i="17"/>
  <c r="S225" i="17"/>
  <c r="N230" i="17" l="1"/>
  <c r="N232" i="17" s="1"/>
  <c r="S230" i="17"/>
  <c r="S232" i="17" s="1"/>
  <c r="F202" i="17"/>
  <c r="Q202" i="17"/>
</calcChain>
</file>

<file path=xl/sharedStrings.xml><?xml version="1.0" encoding="utf-8"?>
<sst xmlns="http://schemas.openxmlformats.org/spreadsheetml/2006/main" count="1952" uniqueCount="904">
  <si>
    <t>Poldokhtar Mini Refinery Project</t>
  </si>
  <si>
    <t>Table of Contents</t>
  </si>
  <si>
    <t>Design Data:</t>
  </si>
  <si>
    <t>ITEM</t>
  </si>
  <si>
    <t>Description</t>
  </si>
  <si>
    <t>Unit</t>
  </si>
  <si>
    <t>Tank Tag. No.</t>
  </si>
  <si>
    <t>Site Location</t>
  </si>
  <si>
    <t>Design code</t>
  </si>
  <si>
    <t>Service</t>
  </si>
  <si>
    <t>Applicable Annexes</t>
  </si>
  <si>
    <t>Tank Inside Diameter</t>
  </si>
  <si>
    <t>Shell height</t>
  </si>
  <si>
    <t>Working capacity</t>
  </si>
  <si>
    <t>Nominal capacity</t>
  </si>
  <si>
    <t>Design pressure</t>
  </si>
  <si>
    <t>Design temp.</t>
  </si>
  <si>
    <t>Specific gravity</t>
  </si>
  <si>
    <t>Corrosion allowance</t>
  </si>
  <si>
    <t>Shell</t>
  </si>
  <si>
    <t xml:space="preserve">Roof </t>
  </si>
  <si>
    <t>Bottom</t>
  </si>
  <si>
    <t>Wind velocity</t>
  </si>
  <si>
    <t>Design wind velocity</t>
  </si>
  <si>
    <t xml:space="preserve">Wind Exposure </t>
  </si>
  <si>
    <t>Earthquake motion analysis</t>
  </si>
  <si>
    <t>Load code</t>
  </si>
  <si>
    <t>Seismic use group</t>
  </si>
  <si>
    <t xml:space="preserve">Importance factor </t>
  </si>
  <si>
    <t>mm</t>
  </si>
  <si>
    <t>Km/h</t>
  </si>
  <si>
    <t>Document Title: Mechanical Calculation for Tank Body</t>
  </si>
  <si>
    <r>
      <t>Document No.:</t>
    </r>
    <r>
      <rPr>
        <b/>
        <sz val="8"/>
        <color theme="1"/>
        <rFont val="Arial"/>
        <family val="2"/>
        <scheme val="minor"/>
      </rPr>
      <t>POL-IPS-PMO-P1-D-ME-DRW TK0203/TK0204/TK0207/TK0208-303</t>
    </r>
  </si>
  <si>
    <t>Roof Type</t>
  </si>
  <si>
    <t>D</t>
  </si>
  <si>
    <t>API 650 / ASCE-7</t>
  </si>
  <si>
    <t>Material of Parts:</t>
  </si>
  <si>
    <t>Material</t>
  </si>
  <si>
    <t>Manhole plate</t>
  </si>
  <si>
    <t>Nozzle neck pipe</t>
  </si>
  <si>
    <t>Nozzle neck plate</t>
  </si>
  <si>
    <t>Pipe Flanges/Blind</t>
  </si>
  <si>
    <t>Reinforcement Pad</t>
  </si>
  <si>
    <t>Sump plate</t>
  </si>
  <si>
    <t>Wind girder/Top angle</t>
  </si>
  <si>
    <t>Anchor Bolt</t>
  </si>
  <si>
    <t>Anchor chair</t>
  </si>
  <si>
    <t>Internal pipes/Fitting</t>
  </si>
  <si>
    <t>Int., bolt/nut</t>
  </si>
  <si>
    <t>Ext. bolt/nut</t>
  </si>
  <si>
    <t>Ladder/Stair/supports</t>
  </si>
  <si>
    <t>Gasket</t>
  </si>
  <si>
    <t>SA106B</t>
  </si>
  <si>
    <t>A36 or st37-2</t>
  </si>
  <si>
    <t>SA106B/A-234 Gr.WPB</t>
  </si>
  <si>
    <t>SA193B7/194 H- Galv.</t>
  </si>
  <si>
    <t>Non asbestos</t>
  </si>
  <si>
    <t>Shell plate:</t>
  </si>
  <si>
    <t>Course No.</t>
  </si>
  <si>
    <t>Shell Plate Design:</t>
  </si>
  <si>
    <t>Course</t>
  </si>
  <si>
    <t>Course width (mm)</t>
  </si>
  <si>
    <t>Liq. Height for course (m)</t>
  </si>
  <si>
    <t>Selected thk. (mm)</t>
  </si>
  <si>
    <t>G</t>
  </si>
  <si>
    <t>Sd</t>
  </si>
  <si>
    <t>St</t>
  </si>
  <si>
    <t>CA</t>
  </si>
  <si>
    <t>Mpa</t>
  </si>
  <si>
    <t>MM</t>
  </si>
  <si>
    <t>M</t>
  </si>
  <si>
    <t>SUM</t>
  </si>
  <si>
    <t>Min. required thickness: (API 650, table 5.1.a)</t>
  </si>
  <si>
    <t xml:space="preserve">Min. required annular plate width: </t>
  </si>
  <si>
    <t>Top Angle:</t>
  </si>
  <si>
    <t>Min. Required top angle is 50x50x5    (API 650, 5.1.5.9 (e)).</t>
  </si>
  <si>
    <t>Top Wind girder:</t>
  </si>
  <si>
    <t xml:space="preserve">
From table 5.20a of API 650, L 100x75x7 is selected. With this selection, the section modulus is 60.59.
</t>
  </si>
  <si>
    <t>This is the minimum of section modulus, but top wind girder will be extended for walkway using</t>
  </si>
  <si>
    <t>Intermediate wind girder:</t>
  </si>
  <si>
    <t>H1: unstiffened shell height</t>
  </si>
  <si>
    <t xml:space="preserve">Wind girder design will be done in corroded condition. So,
tu (uniform) = 5 -1.5 = 3.5 mm
H1= 9.47 * 3.5 * (3.5/9.7)^1.5 * (190/160)^2 = 10.1 m
</t>
  </si>
  <si>
    <t>Transformed tank shell:</t>
  </si>
  <si>
    <t>W</t>
  </si>
  <si>
    <t>t actual cor .</t>
  </si>
  <si>
    <t>tu cor.</t>
  </si>
  <si>
    <t>Wtr</t>
  </si>
  <si>
    <t>∑Wtr</t>
  </si>
  <si>
    <t xml:space="preserve">∑Wtr &lt; H1 , So intermediate wind girder is not required. </t>
  </si>
  <si>
    <t xml:space="preserve">
Wind load has two major effects on the tank. One is lead to buckling of tank which will be restricted by wind girder and another may lead to tank overturning.
</t>
  </si>
  <si>
    <t>Wind overturning stability:</t>
  </si>
  <si>
    <t xml:space="preserve">Unanchored tank shall satisfy all of the following uplift criteria. If following criterial will not satisfy, tank shall be anchored. </t>
  </si>
  <si>
    <t xml:space="preserve">Checking for satisfying the above 3 equilibrium: </t>
  </si>
  <si>
    <t>→</t>
  </si>
  <si>
    <t>5.11.2.2 Unanchored tanks with supported cone roofs meeting the requirements of 5.10.4 shall satisfy the following
criteria:</t>
  </si>
  <si>
    <t xml:space="preserve">In this section the effect on seismic load will be analysis on the tank body based on Annex E of API 650.
Seismic use group (SUG) = 2
Site ground motion method : Mapped ASCE-7 method
Site Class:  D
S0 = 0.45
S1 = 0.6
SS = 1.1625
Fa (from table E.1) = 1.035
</t>
  </si>
  <si>
    <t>Fv (from table E.2) = 1.5</t>
  </si>
  <si>
    <t xml:space="preserve">Q = 0.67
SDS = Q. Fa. SS = 0.67 * 1.035 * 1.1625 = 0.8
Av = 0.47 * SDS = 0.376 
Ge = G (1-0.4 Av) = 0.8*(1- (0.4*0.376)) = 0.68
K = 1.5
T0 = 0.2 Fv.S1/Fa.SS = 0.2 ((1.5*0.6)/(1.035*1.1625))= 0.15
Ts = Fv.S1/Fa.SS = 0.75
</t>
  </si>
  <si>
    <t xml:space="preserve">Rwi = 3.5 (for self-anchored tank from table E.4)
Rwc = 2
</t>
  </si>
  <si>
    <t>I = 1.25 for SUG 2 (from table E.5)</t>
  </si>
  <si>
    <t xml:space="preserve">Ai = 2.5*0.67*1.035*0.45*(1.25/3.5) = 0.28 </t>
  </si>
  <si>
    <t>Seismic design:</t>
  </si>
  <si>
    <t xml:space="preserve">Min Ai for S1&gt;=0.6 = 0.625 * 0.45 * (1.25/3.5) = 0.1
So calculated Ai=0.28&gt; 0.1, it is ok.
TL= 4 sec
For Tc &lt; TL:
</t>
  </si>
  <si>
    <t>Calculation of seismic shear load:</t>
  </si>
  <si>
    <t>Ring wall Seismic moment:</t>
  </si>
  <si>
    <t>Slab Seismic moment:</t>
  </si>
  <si>
    <t>Anchorage ratio (J):</t>
  </si>
  <si>
    <t>The need for anchorage due to seismic load will be checked by anchorage ration. If anchorage ratio be greater than 1.54, tanks shall be anchored.</t>
  </si>
  <si>
    <t>Dynamic liquid hoop stress:</t>
  </si>
  <si>
    <t>course</t>
  </si>
  <si>
    <t>course width</t>
  </si>
  <si>
    <t>tcr</t>
  </si>
  <si>
    <t>y</t>
  </si>
  <si>
    <t>Ni</t>
  </si>
  <si>
    <t>Nc</t>
  </si>
  <si>
    <t>Nh</t>
  </si>
  <si>
    <t>sigma1 (Mpa)</t>
  </si>
  <si>
    <t>sigma 2 (Mpa)</t>
  </si>
  <si>
    <t xml:space="preserve">Hoop stresses are less than material product stress and need not to check the hoop allowable. But in the following the hoop allowable stress is calculated. </t>
  </si>
  <si>
    <t>Maximum longitudinal shell-membrane compression stress:</t>
  </si>
  <si>
    <t>The maximum longitudinal shell compression stress at the bottom of the shell for mechanically anchored tanks shall be determined by the following formula:</t>
  </si>
  <si>
    <t>Allowable longitudinal shell membrane compression stress in tank shell:</t>
  </si>
  <si>
    <t xml:space="preserve">Sliding resistance: </t>
  </si>
  <si>
    <t>For self-anchored tank, the shear force shall be lesser than the resisting friction force between the tanks bottom and ground. It should be noted that this tank to be anchored and need mot considering sliding resistance.</t>
  </si>
  <si>
    <t>Sloshing and free board:</t>
  </si>
  <si>
    <t>Anchor bolt design:</t>
  </si>
  <si>
    <t>Anchor bolt material : SA307-B</t>
  </si>
  <si>
    <t>Anchor chair design:</t>
  </si>
  <si>
    <t>Anchr chair to is designed based on AISI standard. Typical anchor chair is shown below:</t>
  </si>
  <si>
    <t xml:space="preserve">Pad thickness (t2)= 0.25 in. (6mm)
Thickness in equation = 0.25+0.18 = 0.43 in (10.5mm)
Actual Bolt load = 100967.39 N = 22.7 Kips
Max. Allowable bolt load = 120749 N = 27.14 Kips
Design load (P) = min. (1.5*22.7 , 27.14) = 34.05 Kips
Stress of shell course or anchor chair plates = 20000 psi = 20 Ksi
</t>
  </si>
  <si>
    <t>Vertical plate thickness calculation:</t>
  </si>
  <si>
    <t xml:space="preserve">C= [(27.14/(20*5.4))*(0.375*10- 0.22*1.4)]0.5= 0.93 in (=23.25 mm) 
Selected thickness is 25 mm = 1in.
It should be noted that the radial projection of top plate shall not be more than ½ in. 
</t>
  </si>
  <si>
    <t xml:space="preserve">Anchor chair height selection and checking:
Assumed chair height = 16 in
Max. Chair height for the selected dimensions = 3*a = 48 in. 
</t>
  </si>
  <si>
    <t>With 16 in chair height, the stress at the shell attachment point shall be less than the allowable stress from table which is 170.83 MPa = 24.8 Ksi</t>
  </si>
  <si>
    <t>Z= 1/((0.177*14*0.32)/((0.43*388)^0.5)*((〖0.32/0.42)〗^2)+1) = 0.96</t>
  </si>
  <si>
    <t>S=(27.14*6/0.43^2)((1.32*0.96)/((1.43*14*〖16〗^2)/(388*0.43) 〖+(4*14*16^2)〗^0.333 )+0.031/√(388*0.43))=22.4 Ksi &lt; 24.8</t>
  </si>
  <si>
    <t xml:space="preserve">So the chair height is ok. </t>
  </si>
  <si>
    <t xml:space="preserve">Thickness of vertical plates:
Jmin = max. (1/2” , 0.04(h-c)) = max. (1/2” , 0.04(16-1))=max. (0.5, 0.6)= 0.6 in. (15mm)
Requirement is jK&gt; P/25
jK= 0.6*7=4.2
P/25=27.14/25=1.08
4.2&gt; 1.08, so the thickness of vertical plate = 15mm is ok. 
</t>
  </si>
  <si>
    <r>
      <rPr>
        <b/>
        <sz val="16"/>
        <color theme="1"/>
        <rFont val="Arial"/>
        <family val="2"/>
        <scheme val="minor"/>
      </rPr>
      <t>Anchor chair welding size:</t>
    </r>
    <r>
      <rPr>
        <sz val="11"/>
        <color theme="1"/>
        <rFont val="Arial"/>
        <family val="2"/>
        <scheme val="minor"/>
      </rPr>
      <t xml:space="preserve">
The loads per inch of length are:
</t>
    </r>
  </si>
  <si>
    <t xml:space="preserve">Wv=27.14/(14+2*16)=0.59
WH=(27.14*6)/(14*16+0.667*16^2)=0.41
W=(0.59^2+0.41^2)^0.5=0.72
</t>
  </si>
  <si>
    <t xml:space="preserve">The size of weld (w) shall be greater than W/9.6 
W/9.6 = 0.72/9.6 = 0.075 in. = 1.875 mm 
Selected size of weld for anchor chair is 6mm.
</t>
  </si>
  <si>
    <t>θ</t>
  </si>
  <si>
    <t>Page: 14of 33</t>
  </si>
  <si>
    <t>Top Angle</t>
  </si>
  <si>
    <t xml:space="preserve"> ROOF DESIGN:</t>
  </si>
  <si>
    <t>THE ROOF IS CONSIDERED SUPPORTED CONE ROOF AS DESCRIBED IN PARA 5-10-1 &amp; 5-10-4.FOR STRUCTURE,INTERNAL RAFTERS WITH OUT COLUMN IS CONSIDERED.THEN TOP ANGLE SIZING AND RAFTERS
ARE SPECIFIED IN SEC. 9. MINIMUM SIZE OF ROOF PLATE &amp; TOP ANGLE IS AS FOLLOW:</t>
  </si>
  <si>
    <t>ROOF PLATE THICKNESS :</t>
  </si>
  <si>
    <t>5+C.A. mm, MIN. OF CODE PER PARA 5-10-2-2</t>
  </si>
  <si>
    <t>RESULT:</t>
  </si>
  <si>
    <t>5+1mm=</t>
  </si>
  <si>
    <t>ROOF SLOPE :</t>
  </si>
  <si>
    <t>degree</t>
  </si>
  <si>
    <t>ROOF WEIGHT =</t>
  </si>
  <si>
    <t>Kg</t>
  </si>
  <si>
    <t>ROOF WEIGHT+ 0.03 =</t>
  </si>
  <si>
    <t>NOTE:</t>
  </si>
  <si>
    <t>TOP ANGLE SIZE SHALL BE CHECKED FOR INTERNAL PRESSURE, TOO. SEE SECTION 9.</t>
  </si>
  <si>
    <t>ROOF WEIGHT CORRODED =</t>
  </si>
  <si>
    <t>ROOF Structure WEIGHT  =</t>
  </si>
  <si>
    <t xml:space="preserve">D: Tank Diameter, m
Mrw: Ring wall seismic moment, N.m
Ws: total weight of tank shell and appurtenances, N
wrs: roof load acting on shell including 10% of roof specified snow load, N/m
Av: vertical earthquake acceleration parameter, %g 
Wa: force resisting uplift in annular region, N/m
Wint: Calculated design uplift load due to product pressure per unit circumferential length, N/m
There is now internal pressure, so wint=0.
</t>
  </si>
  <si>
    <t>MAX, σT =</t>
  </si>
  <si>
    <t>Uplift Load Case</t>
  </si>
  <si>
    <t>U(N)</t>
  </si>
  <si>
    <t>tb = U/N</t>
  </si>
  <si>
    <t>Sall=Allowable Anchor Bolt
Stress (Mpa)</t>
  </si>
  <si>
    <t>Sb=tb/Ab
(Mpa)</t>
  </si>
  <si>
    <t>Ab‐anchor Bolt
Area (mm2)</t>
  </si>
  <si>
    <t>dia</t>
  </si>
  <si>
    <t>Design Pressure</t>
  </si>
  <si>
    <t>Test Pressure</t>
  </si>
  <si>
    <t>Failure Pressure</t>
  </si>
  <si>
    <t>Frangibility Press.</t>
  </si>
  <si>
    <t>Wind Load</t>
  </si>
  <si>
    <t>Seismic Load</t>
  </si>
  <si>
    <t>Pdesign+Wind</t>
  </si>
  <si>
    <t>Pdesign+seismic</t>
  </si>
  <si>
    <t>NA</t>
  </si>
  <si>
    <t>Pi</t>
  </si>
  <si>
    <t>Pt</t>
  </si>
  <si>
    <t>Pf</t>
  </si>
  <si>
    <t>Pwr</t>
  </si>
  <si>
    <t>Mwh</t>
  </si>
  <si>
    <t>Mrw</t>
  </si>
  <si>
    <t>Fp</t>
  </si>
  <si>
    <t>W1</t>
  </si>
  <si>
    <t>W2</t>
  </si>
  <si>
    <t>W3</t>
  </si>
  <si>
    <t>Av</t>
  </si>
  <si>
    <t>Fy</t>
  </si>
  <si>
    <t>Fty</t>
  </si>
  <si>
    <t>Pws(N/M2)</t>
  </si>
  <si>
    <t>Max</t>
  </si>
  <si>
    <t>Page: 27of 28</t>
  </si>
  <si>
    <t>Page: 30of 30</t>
  </si>
  <si>
    <t>Page: 29of 30</t>
  </si>
  <si>
    <t>Page: 28of 30</t>
  </si>
  <si>
    <t>Page: 26of 30</t>
  </si>
  <si>
    <t>Page: 25of 30</t>
  </si>
  <si>
    <t>Page: 24of 30</t>
  </si>
  <si>
    <t>Page: 22of 30</t>
  </si>
  <si>
    <t>Page: 21of 30</t>
  </si>
  <si>
    <t>Page: 20of 30</t>
  </si>
  <si>
    <t>Page: 23of 30</t>
  </si>
  <si>
    <t>Page: 19of 30</t>
  </si>
  <si>
    <t>Page: 18of 30</t>
  </si>
  <si>
    <t>Page: 17of 30</t>
  </si>
  <si>
    <t>Page: 16of 30</t>
  </si>
  <si>
    <t>Page: 15of 30</t>
  </si>
  <si>
    <t>Page: 09of 30</t>
  </si>
  <si>
    <t xml:space="preserve">Document Title: Mechanical Calculation </t>
  </si>
  <si>
    <t>Document Title: Mechanical Calculation</t>
  </si>
  <si>
    <t>Rev:04</t>
  </si>
  <si>
    <r>
      <t>MIN TOP ANGLE SIZING PER PARA.5-1-5-9-e  :50x50x5</t>
    </r>
    <r>
      <rPr>
        <sz val="11"/>
        <color theme="1"/>
        <rFont val="Calibri"/>
        <family val="2"/>
      </rPr>
      <t>→Selected 80x80x8</t>
    </r>
  </si>
  <si>
    <t>Wtr(mm)</t>
  </si>
  <si>
    <t>N</t>
  </si>
  <si>
    <t xml:space="preserve">WIND FORCE ON TANK SHELL ,(on ver.projected areas of cyl.surfaces)  </t>
  </si>
  <si>
    <t xml:space="preserve">WIND FORCE ON TANK ROOF(on hor.projected areas of con.surfaces)  </t>
  </si>
  <si>
    <t>Pw1* (ID*H) =</t>
  </si>
  <si>
    <t>Pw2* (ΠD²/4) =</t>
  </si>
  <si>
    <t>V</t>
  </si>
  <si>
    <t>H</t>
  </si>
  <si>
    <t>ID</t>
  </si>
  <si>
    <t>KM/H</t>
  </si>
  <si>
    <t xml:space="preserve">WIND PRESSURE ON TANK SHELL ,      </t>
  </si>
  <si>
    <t>Pw1 =</t>
  </si>
  <si>
    <t xml:space="preserve">WIND PRESSURE ON TANK ROOF ,    </t>
  </si>
  <si>
    <t>Pw2 =</t>
  </si>
  <si>
    <t>Fw1=</t>
  </si>
  <si>
    <t>Fw2=</t>
  </si>
  <si>
    <t>M1=</t>
  </si>
  <si>
    <t>M2=</t>
  </si>
  <si>
    <t>N.M</t>
  </si>
  <si>
    <t>Fshear=</t>
  </si>
  <si>
    <t>Mdl=</t>
  </si>
  <si>
    <t>Roof&amp;attach weight *(ID/2)</t>
  </si>
  <si>
    <t>Mdlr=</t>
  </si>
  <si>
    <t>Yield Stress(Mpa)</t>
  </si>
  <si>
    <t>Design Stress(Mpa)</t>
  </si>
  <si>
    <t>Test Stress(Mpa)</t>
  </si>
  <si>
    <t>Stress in first shell course is greater of product and hydrostatic stress. So 61 is used for above table.</t>
  </si>
  <si>
    <t xml:space="preserve">Tc=3.25&lt;4, So 
Af= 2.5*1.5*0.67*1.035*0.45*1.25*(0.75/3.25)=0.33
δs= 0.42*8.6*0.33=1.19m
Based on table E.7, for SUG 2:
Free board = 1.19*0.7=0.833 m
</t>
  </si>
  <si>
    <t xml:space="preserve">Min. qty. of bolts = 3.1415*8.6/3=9
Considered qty. of bolts = 12
Circumferential distance between bolts = 3.1415*8.6/12= 2.25m &lt; 3 m 
</t>
  </si>
  <si>
    <t>t(mm)</t>
  </si>
  <si>
    <t>D(m)</t>
  </si>
  <si>
    <t>V(km/h)</t>
  </si>
  <si>
    <t>Roof&amp;attach weight=</t>
  </si>
  <si>
    <t>wl = 59*(8-1.5)*(203.2*7.5)^0.5=</t>
  </si>
  <si>
    <t>N/M</t>
  </si>
  <si>
    <t xml:space="preserve"> wl=140.8*H*D=</t>
  </si>
  <si>
    <t>Selected=</t>
  </si>
  <si>
    <t xml:space="preserve">MF= wl * (πD) * (D/2) = </t>
  </si>
  <si>
    <t>Ac= 2.5*1.5*0.67*1.035*0.45*(0.75/3.05)*(1.25/2)=0.2 &lt; Ai=0.28</t>
  </si>
  <si>
    <t>D/H=</t>
  </si>
  <si>
    <t xml:space="preserve">Wp = (3.1415*8.6^2/4)*9.6*1010 =563205.2 Kg
Wi = (1-0.218(.82))Wp=462643.571 Kg
</t>
  </si>
  <si>
    <t>attachments</t>
  </si>
  <si>
    <t>snow load</t>
  </si>
  <si>
    <t>kg</t>
  </si>
  <si>
    <t>V=</t>
  </si>
  <si>
    <t>m</t>
  </si>
  <si>
    <t>Seismic overturning moments</t>
  </si>
  <si>
    <t>no.c</t>
  </si>
  <si>
    <t>thk(mm)</t>
  </si>
  <si>
    <t>w(mm)</t>
  </si>
  <si>
    <t>Xi(mm)</t>
  </si>
  <si>
    <t>Ai(mm2)</t>
  </si>
  <si>
    <t>Ai*Xi(mm3)</t>
  </si>
  <si>
    <t>sum</t>
  </si>
  <si>
    <t>Xs=</t>
  </si>
  <si>
    <t>Xr=</t>
  </si>
  <si>
    <t>WiXi=</t>
  </si>
  <si>
    <t>WsXs=</t>
  </si>
  <si>
    <t>WrXr=</t>
  </si>
  <si>
    <t>WcXc=</t>
  </si>
  <si>
    <t>WiXis=</t>
  </si>
  <si>
    <t>WsXcs=</t>
  </si>
  <si>
    <t>&gt;</t>
  </si>
  <si>
    <t>Ge=G(1-0.4Av)</t>
  </si>
  <si>
    <t>so,L=0.035 D</t>
  </si>
  <si>
    <t>(the assumed previous calculated annular width is ok.)</t>
  </si>
  <si>
    <t>1-0.4*Av</t>
  </si>
  <si>
    <t>J</t>
  </si>
  <si>
    <t xml:space="preserve">
Ni: Impulsive hoop membrane force in tank shell, N/mm
Nc: Convective hoop membrane force in tank shell, N/mm
Nh: Product hydrostatic membrane force, N/mm
Y: distance from liquid surface to analysis point
</t>
  </si>
  <si>
    <t>Y=</t>
  </si>
  <si>
    <t>0.75D=</t>
  </si>
  <si>
    <t>Min(1.33Sd or 0.9FyE)</t>
  </si>
  <si>
    <t>MIN</t>
  </si>
  <si>
    <t>Or</t>
  </si>
  <si>
    <t xml:space="preserve">Allowable hoop stress:The maximum allowable hoop tension membrane stress for the combination of hydrostatic product and dynamic membrane hoop effects shall be lesser of:
- The basic allowable membrane for the shell plate material (Sd) increased by 33%; or,
- 0.9Fy times the joint efficiency where Fy is the lesser of the published minimum yield strength of the shell material or weld material. 
</t>
  </si>
  <si>
    <t xml:space="preserve">Sall(hoop) = min. (1.33Sd , 0.9.Fy.E)
Sd= 109.6 MPa
Fy= 203.2 MPa
E=0.85(for radiography based on section 8 of API 650)
Sall (hoop) = min. (1.33*109.6 , 0.9*203.2*1) = min. (145.8 , 155.448) = 145.8 MPa
 Sall is the maximum allowable stress for dynamic hoop stress and the actual hoop stress shall be lesser than Sall.
Based on above table, all hoop stresses are lesser than allowable. </t>
  </si>
  <si>
    <t xml:space="preserve">GHD^2/t2= 1.01*10.5*8.6*8.6/(4.5^2)= 38.74&lt; 44
Fc= [83*4.5/(2.5*8.6)]+ 7.5*(1.01*10.5)^0.5= 41.8MPa &lt; 0.5*205=101.6
σc&lt;Fc, So the longitudinal compression stress is passed. 
</t>
  </si>
  <si>
    <t>µ=0.4</t>
  </si>
  <si>
    <t xml:space="preserve">Material of anchor chair = SA283-C
Assumed dimension of top plate width along shell: (a) = 14 in. (350mm)
Assumed dimension of top plate length radial direction: (2) = 12 in.
Anchor bolt diameter (d) = 1 in. (26mm)
Anchor bolt eccentricity (e) = 6 in. (150mm)
emin = 0.886 (1.4) + 0.572 = 1.81 in.  (45.5mm)
Assumed distance from outside of top plate to edge of hole: (f)= 5.4 in.
fmin = 0.5 (1.4) + 0.125 = 0.825in. (21mm)
Assumed distance between vertical plates: (g) = 10 in. (250mm)
Vertical plate average width (K) = 7 in. (175mm)
Bottom or base plate thickness (m) = 0.32 in. (8mm)
Nominal shell radius (R)= 388 in. (9800/2mm)
First shell course thickness in corroded condition (t1) = 0.25 in.   (6.5mm)
</t>
  </si>
  <si>
    <t xml:space="preserve">First shell course:  </t>
  </si>
  <si>
    <t>Product stress=</t>
  </si>
  <si>
    <t xml:space="preserve">Hydrostatic test stress= </t>
  </si>
  <si>
    <t>Page:10of 30</t>
  </si>
  <si>
    <t>OD</t>
  </si>
  <si>
    <t>IN</t>
  </si>
  <si>
    <t>THK</t>
  </si>
  <si>
    <t>SCH</t>
  </si>
  <si>
    <t>JERASION</t>
  </si>
  <si>
    <t>AREA</t>
  </si>
  <si>
    <t>MM2</t>
  </si>
  <si>
    <t>Number Column</t>
  </si>
  <si>
    <t>COLUMN DESIGN:</t>
  </si>
  <si>
    <t>Length(cm)</t>
  </si>
  <si>
    <t>K</t>
  </si>
  <si>
    <t>Column Spesification:</t>
  </si>
  <si>
    <t>if:</t>
  </si>
  <si>
    <t>Coefficients</t>
  </si>
  <si>
    <t>12"</t>
  </si>
  <si>
    <t>Ratio</t>
  </si>
  <si>
    <t>Diameter of bolt = 39.7+ 1.5= 42.7  So, selected size of anchor bolts are M44.</t>
  </si>
  <si>
    <t>Spectral Acceleration Coefficients</t>
  </si>
  <si>
    <t xml:space="preserve">Site Class            </t>
  </si>
  <si>
    <t>I : Importance factor Coeff. Set by seismic use group</t>
  </si>
  <si>
    <t xml:space="preserve">Rwi : Force reduction factor for the Impulsive mode using Allow stress design method; Table E-4 </t>
  </si>
  <si>
    <t>Rwc : Force reduction factor for the Convective mode using Allow stress design method; Table E-4</t>
  </si>
  <si>
    <t xml:space="preserve">Z : Zone Factor </t>
  </si>
  <si>
    <t xml:space="preserve">TL : Regional-Depend Transition Period, Para. E.4.6.1 </t>
  </si>
  <si>
    <t xml:space="preserve">TS : FVS1/FaSS </t>
  </si>
  <si>
    <t xml:space="preserve">FV : Velocity Based on Site Coefficient,(as 1s Period) Table E-2 </t>
  </si>
  <si>
    <t xml:space="preserve">Fa : Acceleration based site coefficient, (at 0.2s Period)Table E-1 </t>
  </si>
  <si>
    <t>S</t>
  </si>
  <si>
    <t xml:space="preserve">K : Coefficient to adjust spectral acceleration fr </t>
  </si>
  <si>
    <t xml:space="preserve">Q :Scaling Factor </t>
  </si>
  <si>
    <t xml:space="preserve">Sp: Design Level Peak Ground Acceleration Parameter for Sites not
addressed by ASCE Method 
</t>
  </si>
  <si>
    <t>g</t>
  </si>
  <si>
    <t xml:space="preserve">S0 : Spectral response acceleration parameter at zero second=Sp </t>
  </si>
  <si>
    <t xml:space="preserve">Ss : Spectral response acceleration parameter at short period=2.5xSp </t>
  </si>
  <si>
    <t xml:space="preserve">D : Tank Inside Diameter </t>
  </si>
  <si>
    <t xml:space="preserve">G : Liquid Specific Gravity </t>
  </si>
  <si>
    <t xml:space="preserve">KS = 0.578 / ( Tanh (3.68 H / D) )^0.5 ; (Equ. E-4.5.2-c) </t>
  </si>
  <si>
    <t xml:space="preserve">TC : First sloshing wave period =1.8Ks ( D )^ 0.5 (Equ. E-4.5.2-a) </t>
  </si>
  <si>
    <t xml:space="preserve">S1 : Spectral response acceleration parameter at one second=1.25xSp </t>
  </si>
  <si>
    <t xml:space="preserve">SD1 : Design Spectral response acceleration parameter at short period </t>
  </si>
  <si>
    <t>Ai = SDS ( I / Rwi ) = 2.5 Q Fa So ( I / Rwi ) =&gt; .007</t>
  </si>
  <si>
    <t xml:space="preserve"> Ac:Convective Design Response Spectrum Acceleration Coefficient  ; per Equ. E.4.6.1-4 &amp; E.4.6.1-5:</t>
  </si>
  <si>
    <t>RESULT</t>
  </si>
  <si>
    <t>Ai</t>
  </si>
  <si>
    <t>Ai=</t>
  </si>
  <si>
    <t xml:space="preserve"> Ac=</t>
  </si>
  <si>
    <t>Av=</t>
  </si>
  <si>
    <t>Tc ≤ TL</t>
  </si>
  <si>
    <t xml:space="preserve"> Tc &gt; TL </t>
  </si>
  <si>
    <t xml:space="preserve">  ≥</t>
  </si>
  <si>
    <t>≤</t>
  </si>
  <si>
    <t>If Tc ≤ TL:   Ac =K SD1 ( 1 / TC )( I / Rwc )  ≤ Ai</t>
  </si>
  <si>
    <t>If Tc &gt; TL :    Ac =K SDI ( TL / Tc ² 
 )( I / Rwc )  ≤ Ai</t>
  </si>
  <si>
    <t xml:space="preserve"> Dynamic Liquid Hoop Stress, Para. E.6.1.4</t>
  </si>
  <si>
    <t>Ni: Impulsive hoop membrane force in tank shell, N/mm
Nc: Convective hoop membrane force in tank shell, N/mm
Nh: Product hydrostatic membrane force, N/mm
Y: distance from liquid surface to analysis point</t>
  </si>
  <si>
    <t>Course No</t>
  </si>
  <si>
    <t>Width</t>
  </si>
  <si>
    <t>Y</t>
  </si>
  <si>
    <t>sigma2 (Mpa)</t>
  </si>
  <si>
    <t>E.6.2.4: The max. allowable hoop tension membrane stress = Min. ( 1.33 Sd , 0.9 Fy * E ) =</t>
  </si>
  <si>
    <t xml:space="preserve">E : Weld J.E. = </t>
  </si>
  <si>
    <t>Fy=</t>
  </si>
  <si>
    <t>Sd=</t>
  </si>
  <si>
    <t>min=(</t>
  </si>
  <si>
    <t>)</t>
  </si>
  <si>
    <t>Total Combined Hoop Stress in Shell &lt; Max. Allow. Hoop Stress</t>
  </si>
  <si>
    <t>Effective Weight of Product-Para E.6.1.1</t>
  </si>
  <si>
    <t>E.6.1.1-1</t>
  </si>
  <si>
    <t>E.6.1.1-2</t>
  </si>
  <si>
    <t>WC : EFFECTIVE CONVECTIVE (SLOSHING) PORTION OF THE LIQUID WEIGHT, Equ. E-6.1.1-3 :</t>
  </si>
  <si>
    <t>Center of Action for Effective Lateral Forces E.6.1.2</t>
  </si>
  <si>
    <t>NO.Course</t>
  </si>
  <si>
    <t>W(mm)</t>
  </si>
  <si>
    <t>Sum:</t>
  </si>
  <si>
    <t xml:space="preserve">Xis ::Height from the bottom of the tank shell to the center of action of the lateral seismic force related to the impulsive liquid force for slab moment </t>
  </si>
  <si>
    <t>When D/H is greater than or equal to 1.3333, the height Xis is determined by Equation E.6.1.2.2-1:</t>
  </si>
  <si>
    <t>When D/H is less than 1.3333, the height Xis is determined by Equation E.6.1.2.2-2:</t>
  </si>
  <si>
    <t>E.6.1.2.2-1</t>
  </si>
  <si>
    <t>E.6.1.2.2-2</t>
  </si>
  <si>
    <t xml:space="preserve"> Design Load; para E.6.1 :</t>
  </si>
  <si>
    <t>V = Total Design Base Shear : ( Vi ² + Vc²)^0.5   =</t>
  </si>
  <si>
    <t>Vi = Design Base shear due to impulsive force = Ai ( Ws + Wr + Wf + Wi ) =</t>
  </si>
  <si>
    <t>Vc = Design Base shear due to Convective force = Ac Wc   =</t>
  </si>
  <si>
    <t>(E.6.1.2.1-1)</t>
  </si>
  <si>
    <t>(E.6.1.2.1-2)</t>
  </si>
  <si>
    <t>Xc  : Height from the bottom of the tank shell to the center of action of the lateral seismicforce related to the convective liquid force for ringwall moment</t>
  </si>
  <si>
    <t>Checking the self-anchored Tank, Para E.6.2.1.1:</t>
  </si>
  <si>
    <t>Wa = Resisting force of tank contents per unit length of shell circumference that may be used to resist the shell overturning moment, N/m</t>
  </si>
  <si>
    <t>Wa = 99 ta (Fy * Ge * H)^0.5 =</t>
  </si>
  <si>
    <t>Fy:Minimum specified yield strength of bottom annulus, Mpa  =</t>
  </si>
  <si>
    <t>Ge:Effective specific gravity including vertical seismic effects=G(1 – 0.4Av)=</t>
  </si>
  <si>
    <t>ta:Thickness of the bottom plate under the shell extending at least the distance, L,from the inside of the shell,less corrosion allowance, mm</t>
  </si>
  <si>
    <t>Wrs: Roof load acting on the shell, including  the specified snow load N/m =</t>
  </si>
  <si>
    <t>wint: Calculated design uplift load due to product pressure per unit circumferential length, N/m</t>
  </si>
  <si>
    <t>t</t>
  </si>
  <si>
    <t>C.A.</t>
  </si>
  <si>
    <t>Thickness of Bottom Shell Course</t>
  </si>
  <si>
    <t>Corrosion Allowance of Bottom Shell Course</t>
  </si>
  <si>
    <t>Corroded Thickness of Bottom Shell Course</t>
  </si>
  <si>
    <t>Max. Shell Compression Stress at the bottom of the shell</t>
  </si>
  <si>
    <t>Allowable longitudinal shell membrane compression stress in tank shell</t>
  </si>
  <si>
    <t>Minimum specified yield strength of shell course, Mpa</t>
  </si>
  <si>
    <t>GHD^2/t^2=</t>
  </si>
  <si>
    <t>Fc &lt; 0.5Fty</t>
  </si>
  <si>
    <t>σc &lt; Fc</t>
  </si>
  <si>
    <t>SLIDING RESISTANCE (Para.E.7.6)</t>
  </si>
  <si>
    <t>Self-anchored storage tanks shall be proportioned such that the calculated seismic base shear, V, does not exceed Vs:</t>
  </si>
  <si>
    <t>µ=Friction coefficient for tank sliding (Max. = 0.4)=</t>
  </si>
  <si>
    <t>LOCAL SHEAR TRANSFER (ParaE.7.7)</t>
  </si>
  <si>
    <t>σv=Peak local tangential shear Stress = Vmax/(t‐C.A.)</t>
  </si>
  <si>
    <t>FREEBOARD CHECKING (Para. E.7.2):</t>
  </si>
  <si>
    <t>Height of the sloshing wave above the product design height will calculate by following equation:</t>
  </si>
  <si>
    <t xml:space="preserve"> δs = 0.42 D Af=</t>
  </si>
  <si>
    <t>When, TC ≤ 4</t>
  </si>
  <si>
    <t>When, TC &gt; 4</t>
  </si>
  <si>
    <t>Tc=</t>
  </si>
  <si>
    <t>Considered qty. of bolts =</t>
  </si>
  <si>
    <t xml:space="preserve">Circumferential distance between bolts = </t>
  </si>
  <si>
    <t xml:space="preserve">PWR = Wind uplift pressure on roof in (Kpa)      </t>
  </si>
  <si>
    <t>PWS = wind pressure on shell in (N/m2)</t>
  </si>
  <si>
    <t>N/M2</t>
  </si>
  <si>
    <t xml:space="preserve">D= Tank diameter in (m)                   </t>
  </si>
  <si>
    <t>H = tank height, in meters;</t>
  </si>
  <si>
    <t xml:space="preserve">P= design pressure in (Kpa) </t>
  </si>
  <si>
    <t xml:space="preserve">Pf = failure pressure in (KPa) =   1.6 P -‐((0.000746DLR)/D²)th [ACC. tO F.6.]       </t>
  </si>
  <si>
    <t>DLR is the nominal weight of roof plate plus any attached structural, in N.</t>
  </si>
  <si>
    <t xml:space="preserve">th = roof plate thickness (mm) =            </t>
  </si>
  <si>
    <t xml:space="preserve">Mw = wind moment in (N‐m) =         </t>
  </si>
  <si>
    <t>MWH = PWS × D × H²/2 (N-m)</t>
  </si>
  <si>
    <t xml:space="preserve">W1 = dead load of shell minus any corrosion allowance and any dead load other than roof plate acting on the shell minus any corrosion allowance (N) =
Shell(Cr.) + Shell attachements(Cr.) =   </t>
  </si>
  <si>
    <t xml:space="preserve">W2 = dead load of shell minus any corrosion allowance and any dead load including
roof plate acting on the shell minus any corrosion allowance (N) =
W1 + Roof(Cr.) =                                                                                                                                         </t>
  </si>
  <si>
    <t xml:space="preserve">W3 = dead load of the shell using as built thicknesses and any dead load other than
roof plate acting on the shell using as built thicknesses (N). =                                                                     </t>
  </si>
  <si>
    <t xml:space="preserve">N= Number of bolt using in the calculation             </t>
  </si>
  <si>
    <t>Contract No:2000173</t>
  </si>
  <si>
    <t>Class:</t>
  </si>
  <si>
    <t>National Iranian Copper Industries Company
Kerman Acid Projects Effluent Treatment Plants</t>
  </si>
  <si>
    <t>Project Title</t>
  </si>
  <si>
    <t>Rev:</t>
  </si>
  <si>
    <t>Document Number:</t>
  </si>
  <si>
    <t>Document Title:</t>
  </si>
  <si>
    <t>Date:</t>
  </si>
  <si>
    <t>Page X of Y</t>
  </si>
  <si>
    <t>NO</t>
  </si>
  <si>
    <t xml:space="preserve">Selected top angle:  L 50x50x5
Top angle weight per meter = 5.59
Tank surrounding = 3.1415 * 3= 9.4245(m)
Total weight of top angle= 9.4245*5.59= 52.7Kg
Top angle section area =7.12 cm2
</t>
  </si>
  <si>
    <t xml:space="preserve">Section modulus of top wind girder: (API650, 5.9.6.1)
V= 165 km/hr
H= 4m
D= 3 m
Z= (3*3*4/17) * (165/190)^2= 37.5 cm3
</t>
  </si>
  <si>
    <t>m3</t>
  </si>
  <si>
    <t>N.m</t>
  </si>
  <si>
    <t>LLL</t>
  </si>
  <si>
    <t>C°</t>
  </si>
  <si>
    <t>API Standard 650, 13th Ed</t>
  </si>
  <si>
    <t>-</t>
  </si>
  <si>
    <t>Kpa</t>
  </si>
  <si>
    <t>#1</t>
  </si>
  <si>
    <t>#2</t>
  </si>
  <si>
    <t>#3</t>
  </si>
  <si>
    <t>#4</t>
  </si>
  <si>
    <t>#5</t>
  </si>
  <si>
    <t xml:space="preserve">Based on API 650, Shell plates shall be designed for 2 filling condition. One for product and another for hydrostatic test. </t>
  </si>
  <si>
    <t>Calculation method: One-foot method</t>
  </si>
  <si>
    <t>Min. thickness based on tank diameter is 5 mm.  (API 650- 5.6.1.1)</t>
  </si>
  <si>
    <t>Design thk. (td) (mm)</t>
  </si>
  <si>
    <t>Test thk. (tt) (mm)</t>
  </si>
  <si>
    <t>mpa</t>
  </si>
  <si>
    <r>
      <t>t</t>
    </r>
    <r>
      <rPr>
        <sz val="8"/>
        <color theme="1"/>
        <rFont val="Times New Roman"/>
        <family val="1"/>
      </rPr>
      <t>d</t>
    </r>
  </si>
  <si>
    <r>
      <t>C</t>
    </r>
    <r>
      <rPr>
        <sz val="10"/>
        <color theme="1"/>
        <rFont val="Times New Roman"/>
        <family val="1"/>
      </rPr>
      <t>t</t>
    </r>
  </si>
  <si>
    <r>
      <t>t</t>
    </r>
    <r>
      <rPr>
        <sz val="8"/>
        <color theme="1"/>
        <rFont val="Times New Roman"/>
        <family val="1"/>
      </rPr>
      <t>t</t>
    </r>
  </si>
  <si>
    <r>
      <t>n</t>
    </r>
    <r>
      <rPr>
        <sz val="9"/>
        <color theme="1"/>
        <rFont val="Times New Roman"/>
        <family val="1"/>
      </rPr>
      <t>t</t>
    </r>
  </si>
  <si>
    <t>t actual cor .(mm)</t>
  </si>
  <si>
    <t>tu cor.(mm)</t>
  </si>
  <si>
    <t>According to API650 3.9.7.3</t>
  </si>
  <si>
    <t>shell weight *(ID/2)</t>
  </si>
  <si>
    <t>Seismic Factors &amp; Parameters(Note1)</t>
  </si>
  <si>
    <r>
      <t>A</t>
    </r>
    <r>
      <rPr>
        <sz val="8"/>
        <color theme="1"/>
        <rFont val="Times New Roman"/>
        <family val="1"/>
      </rPr>
      <t>i :Impulsive Design Response Spectrum Acceleration Coefficient  ; per Equ. E.4.6.1-1:</t>
    </r>
  </si>
  <si>
    <r>
      <t>A</t>
    </r>
    <r>
      <rPr>
        <sz val="10"/>
        <color theme="1"/>
        <rFont val="Times New Roman"/>
        <family val="1"/>
      </rPr>
      <t>v</t>
    </r>
    <r>
      <rPr>
        <sz val="11"/>
        <color theme="1"/>
        <rFont val="Times New Roman"/>
        <family val="1"/>
      </rPr>
      <t>: Vertical earthquake acceleration coefficient. ; Para. E.6.1.3 :Av = 0.47 SDS</t>
    </r>
  </si>
  <si>
    <r>
      <rPr>
        <sz val="11"/>
        <color rgb="FFFF0000"/>
        <rFont val="Times New Roman"/>
        <family val="1"/>
      </rPr>
      <t xml:space="preserve">Wr </t>
    </r>
    <r>
      <rPr>
        <sz val="11"/>
        <color theme="1"/>
        <rFont val="Times New Roman"/>
        <family val="1"/>
      </rPr>
      <t xml:space="preserve">:TOTAL WEIGHT OF FIXED TANK ROOF INCLUDING FRAMING, </t>
    </r>
  </si>
  <si>
    <r>
      <rPr>
        <sz val="11"/>
        <color rgb="FFFF0000"/>
        <rFont val="Times New Roman"/>
        <family val="1"/>
      </rPr>
      <t>Wf</t>
    </r>
    <r>
      <rPr>
        <sz val="11"/>
        <color theme="1"/>
        <rFont val="Times New Roman"/>
        <family val="1"/>
      </rPr>
      <t xml:space="preserve"> : WEIGHT OF THE TANK BOTTOM</t>
    </r>
  </si>
  <si>
    <r>
      <rPr>
        <sz val="11"/>
        <color rgb="FFFF0000"/>
        <rFont val="Times New Roman"/>
        <family val="1"/>
      </rPr>
      <t>Wi</t>
    </r>
    <r>
      <rPr>
        <sz val="11"/>
        <color theme="1"/>
        <rFont val="Times New Roman"/>
        <family val="1"/>
      </rPr>
      <t xml:space="preserve"> : EFFECTIVE IMPULSIVE WEIGHT OF THE LIQUID </t>
    </r>
  </si>
  <si>
    <r>
      <t>W</t>
    </r>
    <r>
      <rPr>
        <sz val="10"/>
        <color rgb="FFFF0000"/>
        <rFont val="Times New Roman"/>
        <family val="1"/>
      </rPr>
      <t>i=</t>
    </r>
  </si>
  <si>
    <r>
      <rPr>
        <sz val="11"/>
        <color rgb="FFFF0000"/>
        <rFont val="Times New Roman"/>
        <family val="1"/>
      </rPr>
      <t xml:space="preserve">Wc </t>
    </r>
    <r>
      <rPr>
        <sz val="11"/>
        <color theme="1"/>
        <rFont val="Times New Roman"/>
        <family val="1"/>
      </rPr>
      <t>= 0.230 D/H Tanh(3.67 H / D)*Wp =</t>
    </r>
  </si>
  <si>
    <r>
      <rPr>
        <sz val="9"/>
        <color rgb="FFFF0000"/>
        <rFont val="Times New Roman"/>
        <family val="1"/>
      </rPr>
      <t>Xr</t>
    </r>
    <r>
      <rPr>
        <sz val="9"/>
        <color theme="1"/>
        <rFont val="Times New Roman"/>
        <family val="1"/>
      </rPr>
      <t xml:space="preserve"> :Height from the bottom of the tank shell to the roof and roof appurtenances center of gravity</t>
    </r>
  </si>
  <si>
    <r>
      <rPr>
        <sz val="11"/>
        <color rgb="FFFF0000"/>
        <rFont val="Times New Roman"/>
        <family val="1"/>
      </rPr>
      <t>Xs</t>
    </r>
    <r>
      <rPr>
        <sz val="11"/>
        <color theme="1"/>
        <rFont val="Times New Roman"/>
        <family val="1"/>
      </rPr>
      <t xml:space="preserve"> : HEIGHT FROM BOTTOM OF THE TANK TO SHELL CENTER OF GRAVITY</t>
    </r>
  </si>
  <si>
    <r>
      <rPr>
        <sz val="10"/>
        <color rgb="FFFF0000"/>
        <rFont val="Times New Roman"/>
        <family val="1"/>
      </rPr>
      <t xml:space="preserve">WS </t>
    </r>
    <r>
      <rPr>
        <sz val="10"/>
        <color theme="1"/>
        <rFont val="Times New Roman"/>
        <family val="1"/>
      </rPr>
      <t>: TOTAL WEIGHT OF TANK SHELL AND APPURTENANCES (+10% for accessories)</t>
    </r>
  </si>
  <si>
    <r>
      <rPr>
        <sz val="10"/>
        <color rgb="FFFF0000"/>
        <rFont val="Times New Roman"/>
        <family val="1"/>
      </rPr>
      <t>Wp</t>
    </r>
    <r>
      <rPr>
        <sz val="10"/>
        <color theme="1"/>
        <rFont val="Times New Roman"/>
        <family val="1"/>
      </rPr>
      <t xml:space="preserve"> : TOTAL WEIGHT OF TANK CONTENT BASED ON PRODUCT SPECIFIC GRAVITY   </t>
    </r>
  </si>
  <si>
    <r>
      <t>X</t>
    </r>
    <r>
      <rPr>
        <sz val="8"/>
        <color rgb="FFFF0000"/>
        <rFont val="Times New Roman"/>
        <family val="1"/>
      </rPr>
      <t>is=</t>
    </r>
  </si>
  <si>
    <r>
      <rPr>
        <sz val="11"/>
        <color rgb="FFFF0000"/>
        <rFont val="Times New Roman"/>
        <family val="1"/>
      </rPr>
      <t>Xcs</t>
    </r>
    <r>
      <rPr>
        <sz val="11"/>
        <color theme="1"/>
        <rFont val="Times New Roman"/>
        <family val="1"/>
      </rPr>
      <t xml:space="preserve"> ::Height from the bottom of the tank shell to the center of action of the
lateral seismic force related to the Convective liquid force </t>
    </r>
    <r>
      <rPr>
        <b/>
        <i/>
        <sz val="11"/>
        <color theme="1"/>
        <rFont val="Times New Roman"/>
        <family val="1"/>
      </rPr>
      <t>for slab moment</t>
    </r>
    <r>
      <rPr>
        <sz val="11"/>
        <color theme="1"/>
        <rFont val="Times New Roman"/>
        <family val="1"/>
      </rPr>
      <t>. E.6.1.2.2-3:</t>
    </r>
  </si>
  <si>
    <r>
      <t>Xi  : Height from the bottom of the tank shell to the center of action of the lateral seismic force related to the impulsive liquid force</t>
    </r>
    <r>
      <rPr>
        <b/>
        <i/>
        <sz val="11"/>
        <color theme="1"/>
        <rFont val="Times New Roman"/>
        <family val="1"/>
      </rPr>
      <t xml:space="preserve"> for ringwall moment</t>
    </r>
  </si>
  <si>
    <r>
      <t>X</t>
    </r>
    <r>
      <rPr>
        <sz val="9"/>
        <color theme="1"/>
        <rFont val="Times New Roman"/>
        <family val="1"/>
      </rPr>
      <t>i=</t>
    </r>
  </si>
  <si>
    <r>
      <rPr>
        <sz val="12"/>
        <color theme="1"/>
        <rFont val="Times New Roman"/>
        <family val="1"/>
      </rPr>
      <t>M</t>
    </r>
    <r>
      <rPr>
        <sz val="8"/>
        <color theme="1"/>
        <rFont val="Times New Roman"/>
        <family val="1"/>
      </rPr>
      <t>rw=</t>
    </r>
  </si>
  <si>
    <r>
      <t>M</t>
    </r>
    <r>
      <rPr>
        <sz val="8"/>
        <color theme="1"/>
        <rFont val="Times New Roman"/>
        <family val="1"/>
      </rPr>
      <t>S=</t>
    </r>
  </si>
  <si>
    <r>
      <t>W</t>
    </r>
    <r>
      <rPr>
        <sz val="8"/>
        <color theme="1"/>
        <rFont val="Times New Roman"/>
        <family val="1"/>
      </rPr>
      <t>t</t>
    </r>
    <r>
      <rPr>
        <sz val="11"/>
        <color theme="1"/>
        <rFont val="Times New Roman"/>
        <family val="1"/>
      </rPr>
      <t xml:space="preserve"> :Tank and roof weight acting at base of shell, N/m </t>
    </r>
  </si>
  <si>
    <r>
      <rPr>
        <b/>
        <sz val="12"/>
        <color theme="1"/>
        <rFont val="Times New Roman"/>
        <family val="1"/>
      </rPr>
      <t>t</t>
    </r>
    <r>
      <rPr>
        <sz val="9"/>
        <color theme="1"/>
        <rFont val="Times New Roman"/>
        <family val="1"/>
      </rPr>
      <t>s</t>
    </r>
  </si>
  <si>
    <r>
      <rPr>
        <b/>
        <sz val="12"/>
        <color theme="1"/>
        <rFont val="Times New Roman"/>
        <family val="1"/>
      </rPr>
      <t>σ</t>
    </r>
    <r>
      <rPr>
        <sz val="9"/>
        <color theme="1"/>
        <rFont val="Times New Roman"/>
        <family val="1"/>
      </rPr>
      <t>c</t>
    </r>
  </si>
  <si>
    <r>
      <t>0.5F</t>
    </r>
    <r>
      <rPr>
        <sz val="8"/>
        <color theme="1"/>
        <rFont val="Times New Roman"/>
        <family val="1"/>
      </rPr>
      <t>ty =</t>
    </r>
  </si>
  <si>
    <r>
      <rPr>
        <b/>
        <sz val="12"/>
        <color theme="1"/>
        <rFont val="Times New Roman"/>
        <family val="1"/>
      </rPr>
      <t>F</t>
    </r>
    <r>
      <rPr>
        <b/>
        <sz val="9"/>
        <color theme="1"/>
        <rFont val="Times New Roman"/>
        <family val="1"/>
      </rPr>
      <t>c</t>
    </r>
  </si>
  <si>
    <r>
      <t>V</t>
    </r>
    <r>
      <rPr>
        <sz val="9"/>
        <color theme="1"/>
        <rFont val="Times New Roman"/>
        <family val="1"/>
      </rPr>
      <t>s</t>
    </r>
    <r>
      <rPr>
        <sz val="11"/>
        <color theme="1"/>
        <rFont val="Times New Roman"/>
        <family val="1"/>
      </rPr>
      <t>=Max. seismic base shear Force=</t>
    </r>
  </si>
  <si>
    <r>
      <t>V</t>
    </r>
    <r>
      <rPr>
        <sz val="9"/>
        <color theme="1"/>
        <rFont val="Times New Roman"/>
        <family val="1"/>
      </rPr>
      <t>max</t>
    </r>
    <r>
      <rPr>
        <sz val="11"/>
        <color theme="1"/>
        <rFont val="Times New Roman"/>
        <family val="1"/>
      </rPr>
      <t>=Peak local tangential shear per unit length</t>
    </r>
  </si>
  <si>
    <r>
      <t>A</t>
    </r>
    <r>
      <rPr>
        <sz val="8"/>
        <color theme="1"/>
        <rFont val="Times New Roman"/>
        <family val="1"/>
      </rPr>
      <t>f</t>
    </r>
    <r>
      <rPr>
        <sz val="11"/>
        <color theme="1"/>
        <rFont val="Times New Roman"/>
        <family val="1"/>
      </rPr>
      <t>=</t>
    </r>
  </si>
  <si>
    <r>
      <t>S</t>
    </r>
    <r>
      <rPr>
        <sz val="9"/>
        <color theme="1"/>
        <rFont val="Times New Roman"/>
        <family val="1"/>
      </rPr>
      <t>DS=</t>
    </r>
  </si>
  <si>
    <r>
      <t>A</t>
    </r>
    <r>
      <rPr>
        <sz val="9"/>
        <color theme="1"/>
        <rFont val="Times New Roman"/>
        <family val="1"/>
      </rPr>
      <t xml:space="preserve">v = vertical earthquake acceleration coefficient,%g    </t>
    </r>
  </si>
  <si>
    <r>
      <t>M</t>
    </r>
    <r>
      <rPr>
        <sz val="9"/>
        <color theme="1"/>
        <rFont val="Times New Roman"/>
        <family val="1"/>
      </rPr>
      <t>rw</t>
    </r>
    <r>
      <rPr>
        <sz val="11"/>
        <color theme="1"/>
        <rFont val="Times New Roman"/>
        <family val="1"/>
      </rPr>
      <t xml:space="preserve"> = seismic moment in (N‐m) =       </t>
    </r>
  </si>
  <si>
    <r>
      <t>F</t>
    </r>
    <r>
      <rPr>
        <sz val="9"/>
        <color theme="1"/>
        <rFont val="Times New Roman"/>
        <family val="1"/>
      </rPr>
      <t>y=</t>
    </r>
  </si>
  <si>
    <r>
      <t>F</t>
    </r>
    <r>
      <rPr>
        <sz val="8"/>
        <color theme="1"/>
        <rFont val="Times New Roman"/>
        <family val="1"/>
      </rPr>
      <t>ty</t>
    </r>
    <r>
      <rPr>
        <sz val="11"/>
        <color theme="1"/>
        <rFont val="Times New Roman"/>
        <family val="1"/>
      </rPr>
      <t>=</t>
    </r>
  </si>
  <si>
    <t>The minimum anchor bolt
diameter is 1" plus any specified corrosion allowance</t>
  </si>
  <si>
    <t>According to API 650 3.12.5</t>
  </si>
  <si>
    <t>anchor bolt
diameter=</t>
  </si>
  <si>
    <t>required anchor bolt
diameter</t>
  </si>
  <si>
    <t>Bolt Center Diameter=</t>
  </si>
  <si>
    <t>TABULATION OF REVISED PAGES</t>
  </si>
  <si>
    <t>PAGE</t>
  </si>
  <si>
    <t>#6</t>
  </si>
  <si>
    <t>Ratio(E.6.2.4/σT)</t>
  </si>
  <si>
    <t>5.10.1.a:</t>
  </si>
  <si>
    <t xml:space="preserve">A supported cone roof is a roof formed to approximately the surface of a right cone that is supported principally
either by rafters on girders and columns or by rafters on trusses with or without columns.
</t>
  </si>
  <si>
    <t>5.10.2.2</t>
  </si>
  <si>
    <t>Roof Plate Thickness: Roof plates shall have a nominal thickness of not less than 5 mm (3/16 in.) or
7-gauge sheet. Increased thickness may be required for supported cone roofs (see 5.10.4.4). Any required corrosion
allowance for the plates of self-supporting roofs shall be added to the calculated thickness unless otherwise specified
by the Purchaser. Any corrosion allowance for the plates of supported roofs shall be added to the greater of the
calculated thickness or the minimum thickness or [5 mm (3/16 in.) or 7-gauge sheet]. For frangible roof tanks, where a
corrosion allowance is specified, the design must have frangible characteristics in the nominal (uncorroded) condition.</t>
  </si>
  <si>
    <t>th</t>
  </si>
  <si>
    <t>Wrp</t>
  </si>
  <si>
    <t>Wrcp</t>
  </si>
  <si>
    <t>Wraf</t>
  </si>
  <si>
    <t>Tw</t>
  </si>
  <si>
    <t>= Angle of the elements to the horizontal , (Roof Slope) :</t>
  </si>
  <si>
    <t>= Inside Tank Diameter</t>
  </si>
  <si>
    <t xml:space="preserve"> = Weight of Roof Plates</t>
  </si>
  <si>
    <t xml:space="preserve"> = Corroded Weight of Roof Plates</t>
  </si>
  <si>
    <t xml:space="preserve"> = Weight of Rafters &amp; other structure</t>
  </si>
  <si>
    <t xml:space="preserve"> =Total Weight (UnCorroded)</t>
  </si>
  <si>
    <t>à</t>
  </si>
  <si>
    <t xml:space="preserve"> =</t>
  </si>
  <si>
    <t>Min. qty. of bolts = 3.1415*D/2=</t>
  </si>
  <si>
    <t>For SUG III</t>
  </si>
  <si>
    <r>
      <rPr>
        <b/>
        <sz val="20"/>
        <color theme="1"/>
        <rFont val="Times New Roman"/>
        <family val="1"/>
      </rPr>
      <t>Bottom plate design:</t>
    </r>
    <r>
      <rPr>
        <sz val="11"/>
        <color theme="1"/>
        <rFont val="Times New Roman"/>
        <family val="1"/>
      </rPr>
      <t xml:space="preserve">
</t>
    </r>
  </si>
  <si>
    <t>Outside Diameter of Bottom Plate:</t>
  </si>
  <si>
    <t>X</t>
  </si>
  <si>
    <t>Anchor chair part calculation</t>
  </si>
  <si>
    <t>Diameter of tank</t>
  </si>
  <si>
    <t>Top Plate Width along shell</t>
  </si>
  <si>
    <t>Bolt Circle diameter</t>
  </si>
  <si>
    <t>Pad Palte Thickness</t>
  </si>
  <si>
    <t>Shell Plate thickness</t>
  </si>
  <si>
    <t>Number of anchor bolts</t>
  </si>
  <si>
    <t>Anchor bolt diameter</t>
  </si>
  <si>
    <t>Hole diameter</t>
  </si>
  <si>
    <t>Anchor bolt eccentricity</t>
  </si>
  <si>
    <t>Distance from outside of top plate to centerline of bolt(min. 1.5*hole diameter)</t>
  </si>
  <si>
    <t>Distance from outside of top plate to edge of hole</t>
  </si>
  <si>
    <t>Top Plate length in raidial direction(min 3*hole diameter)</t>
  </si>
  <si>
    <t>Distance between vertical plates</t>
  </si>
  <si>
    <t>Chair height( minimum 6")</t>
  </si>
  <si>
    <t>Vertical Palates(gusset) thickness</t>
  </si>
  <si>
    <t>Gusset lowest width</t>
  </si>
  <si>
    <t>Vertical plates width(average width for tapered plates)</t>
  </si>
  <si>
    <t>Bottom plate thickness (Corroded)</t>
  </si>
  <si>
    <t>Nominal Shell Radius</t>
  </si>
  <si>
    <t>Minimum yield stength of chair parts</t>
  </si>
  <si>
    <t>Shell thickness(Corroded) also including the pad thickness</t>
  </si>
  <si>
    <t>Ringwall moment</t>
  </si>
  <si>
    <t>D=</t>
  </si>
  <si>
    <t>a=</t>
  </si>
  <si>
    <t>B.C.D.=</t>
  </si>
  <si>
    <r>
      <t xml:space="preserve">t </t>
    </r>
    <r>
      <rPr>
        <vertAlign val="subscript"/>
        <sz val="14"/>
        <color theme="1"/>
        <rFont val="Times New Roman"/>
        <family val="1"/>
      </rPr>
      <t>Pad</t>
    </r>
    <r>
      <rPr>
        <sz val="14"/>
        <color theme="1"/>
        <rFont val="Times New Roman"/>
        <family val="1"/>
      </rPr>
      <t>=</t>
    </r>
  </si>
  <si>
    <r>
      <t xml:space="preserve">t </t>
    </r>
    <r>
      <rPr>
        <vertAlign val="subscript"/>
        <sz val="14"/>
        <color theme="1"/>
        <rFont val="Times New Roman"/>
        <family val="1"/>
      </rPr>
      <t>shell</t>
    </r>
    <r>
      <rPr>
        <sz val="14"/>
        <color theme="1"/>
        <rFont val="Times New Roman"/>
        <family val="1"/>
      </rPr>
      <t>=</t>
    </r>
  </si>
  <si>
    <r>
      <t>n</t>
    </r>
    <r>
      <rPr>
        <vertAlign val="subscript"/>
        <sz val="14"/>
        <color theme="1"/>
        <rFont val="Times New Roman"/>
        <family val="1"/>
      </rPr>
      <t>Bolt</t>
    </r>
    <r>
      <rPr>
        <sz val="14"/>
        <color theme="1"/>
        <rFont val="Times New Roman"/>
        <family val="1"/>
      </rPr>
      <t>=</t>
    </r>
  </si>
  <si>
    <t>d=</t>
  </si>
  <si>
    <r>
      <t>d</t>
    </r>
    <r>
      <rPr>
        <vertAlign val="subscript"/>
        <sz val="14"/>
        <color theme="1"/>
        <rFont val="Times New Roman"/>
        <family val="1"/>
      </rPr>
      <t>hole</t>
    </r>
    <r>
      <rPr>
        <sz val="14"/>
        <color theme="1"/>
        <rFont val="Times New Roman"/>
        <family val="1"/>
      </rPr>
      <t>=</t>
    </r>
  </si>
  <si>
    <t>e=</t>
  </si>
  <si>
    <t>F=</t>
  </si>
  <si>
    <t>f=</t>
  </si>
  <si>
    <t>b=</t>
  </si>
  <si>
    <t>g=</t>
  </si>
  <si>
    <t>h=</t>
  </si>
  <si>
    <t>j=</t>
  </si>
  <si>
    <t>L Gusset=</t>
  </si>
  <si>
    <t>k=</t>
  </si>
  <si>
    <t>m=</t>
  </si>
  <si>
    <t>R=</t>
  </si>
  <si>
    <r>
      <t>S</t>
    </r>
    <r>
      <rPr>
        <vertAlign val="subscript"/>
        <sz val="14"/>
        <color theme="1"/>
        <rFont val="Times New Roman"/>
        <family val="1"/>
      </rPr>
      <t>y</t>
    </r>
    <r>
      <rPr>
        <sz val="14"/>
        <color theme="1"/>
        <rFont val="Times New Roman"/>
        <family val="1"/>
      </rPr>
      <t>=</t>
    </r>
  </si>
  <si>
    <t>t=</t>
  </si>
  <si>
    <r>
      <t>M</t>
    </r>
    <r>
      <rPr>
        <vertAlign val="subscript"/>
        <sz val="14"/>
        <color theme="1"/>
        <rFont val="Times New Roman"/>
        <family val="1"/>
      </rPr>
      <t>rw</t>
    </r>
    <r>
      <rPr>
        <sz val="14"/>
        <color theme="1"/>
        <rFont val="Times New Roman"/>
        <family val="1"/>
      </rPr>
      <t>=</t>
    </r>
  </si>
  <si>
    <t>Inch</t>
  </si>
  <si>
    <t>ksi</t>
  </si>
  <si>
    <t>The selected thickness is</t>
  </si>
  <si>
    <t>Calculated design uplift load on anchors per unit circumferential length</t>
  </si>
  <si>
    <t>Actual bolt load</t>
  </si>
  <si>
    <t>Yield strenth of anchor bolt (A 36)</t>
  </si>
  <si>
    <t>Deign load will be the lesser of bellow items:</t>
  </si>
  <si>
    <t>1- 3 thime of PA,B</t>
  </si>
  <si>
    <t>Cross section area of bolt*yiled strenth of Anchol bolt</t>
  </si>
  <si>
    <t>Cross Section Area of Bolt</t>
  </si>
  <si>
    <t>Allowance design Stress for anchor chair parts</t>
  </si>
  <si>
    <r>
      <t>P</t>
    </r>
    <r>
      <rPr>
        <vertAlign val="subscript"/>
        <sz val="14"/>
        <color theme="1"/>
        <rFont val="Times New Roman"/>
        <family val="1"/>
      </rPr>
      <t>1</t>
    </r>
    <r>
      <rPr>
        <sz val="14"/>
        <color theme="1"/>
        <rFont val="Times New Roman"/>
        <family val="1"/>
      </rPr>
      <t>=</t>
    </r>
  </si>
  <si>
    <r>
      <t>A</t>
    </r>
    <r>
      <rPr>
        <vertAlign val="subscript"/>
        <sz val="14"/>
        <color theme="1"/>
        <rFont val="Times New Roman"/>
        <family val="1"/>
      </rPr>
      <t>s</t>
    </r>
    <r>
      <rPr>
        <sz val="14"/>
        <color theme="1"/>
        <rFont val="Times New Roman"/>
        <family val="1"/>
      </rPr>
      <t>=</t>
    </r>
  </si>
  <si>
    <r>
      <t>S</t>
    </r>
    <r>
      <rPr>
        <vertAlign val="subscript"/>
        <sz val="14"/>
        <color theme="1"/>
        <rFont val="Times New Roman"/>
        <family val="1"/>
      </rPr>
      <t>d1</t>
    </r>
    <r>
      <rPr>
        <sz val="14"/>
        <color theme="1"/>
        <rFont val="Times New Roman"/>
        <family val="1"/>
      </rPr>
      <t>=</t>
    </r>
  </si>
  <si>
    <r>
      <t>S</t>
    </r>
    <r>
      <rPr>
        <vertAlign val="subscript"/>
        <sz val="14"/>
        <color theme="1"/>
        <rFont val="Times New Roman"/>
        <family val="1"/>
      </rPr>
      <t>d2</t>
    </r>
    <r>
      <rPr>
        <sz val="14"/>
        <color theme="1"/>
        <rFont val="Times New Roman"/>
        <family val="1"/>
      </rPr>
      <t>=</t>
    </r>
  </si>
  <si>
    <t>P2=</t>
  </si>
  <si>
    <t>N/m</t>
  </si>
  <si>
    <r>
      <t>mm</t>
    </r>
    <r>
      <rPr>
        <vertAlign val="superscript"/>
        <sz val="14"/>
        <color theme="1"/>
        <rFont val="Times New Roman"/>
        <family val="1"/>
      </rPr>
      <t>2</t>
    </r>
  </si>
  <si>
    <t>kip</t>
  </si>
  <si>
    <r>
      <t>inch</t>
    </r>
    <r>
      <rPr>
        <vertAlign val="superscript"/>
        <sz val="14"/>
        <color theme="1"/>
        <rFont val="Times New Roman"/>
        <family val="1"/>
      </rPr>
      <t>2</t>
    </r>
  </si>
  <si>
    <t>Roof plate weight :</t>
  </si>
  <si>
    <t>Insulation Weight:</t>
  </si>
  <si>
    <t>Total weight :</t>
  </si>
  <si>
    <t>r=</t>
  </si>
  <si>
    <t>l=</t>
  </si>
  <si>
    <t>Roof Plate Thk.=</t>
  </si>
  <si>
    <t>Insulation Thk.=</t>
  </si>
  <si>
    <t>= Nominal Calculated Thickness of Roof plates =</t>
  </si>
  <si>
    <t>P=</t>
  </si>
  <si>
    <t>Desing load</t>
  </si>
  <si>
    <t>Reduction factor=</t>
  </si>
  <si>
    <t>Z=</t>
  </si>
  <si>
    <t>Stress at point=</t>
  </si>
  <si>
    <t>S=</t>
  </si>
  <si>
    <t>Minimum chair height h = 6 in (152.4 mm) , except h = 12 in (304.8 mm) when base plate or bottom plate is 3/8 in (9.525 mm)</t>
  </si>
  <si>
    <t>or thinner and where earthquake or winds over 100 mph (160 km/h) must be considered.</t>
  </si>
  <si>
    <t>Verification of Chair Height:</t>
  </si>
  <si>
    <t>Verification of Top Plate Thickness:</t>
  </si>
  <si>
    <t>Thickness of top plate</t>
  </si>
  <si>
    <t xml:space="preserve"> C=</t>
  </si>
  <si>
    <t>Verification of Gusset Thickness:</t>
  </si>
  <si>
    <t>jmin = Max (1/2 in , 0.04 (h - c) )</t>
  </si>
  <si>
    <r>
      <rPr>
        <b/>
        <sz val="11"/>
        <color theme="1"/>
        <rFont val="Arial"/>
        <family val="2"/>
        <scheme val="minor"/>
      </rPr>
      <t>j</t>
    </r>
    <r>
      <rPr>
        <sz val="11"/>
        <color theme="1"/>
        <rFont val="Arial"/>
        <family val="2"/>
        <scheme val="minor"/>
      </rPr>
      <t>1=</t>
    </r>
  </si>
  <si>
    <r>
      <rPr>
        <b/>
        <sz val="11"/>
        <color theme="1"/>
        <rFont val="Arial"/>
        <family val="2"/>
        <scheme val="minor"/>
      </rPr>
      <t>j</t>
    </r>
    <r>
      <rPr>
        <sz val="11"/>
        <color theme="1"/>
        <rFont val="Arial"/>
        <family val="2"/>
        <scheme val="minor"/>
      </rPr>
      <t>2=</t>
    </r>
  </si>
  <si>
    <t>Should be:</t>
  </si>
  <si>
    <t>j &gt; P / (25*k)</t>
  </si>
  <si>
    <t>WELD SIZE CHECKING:</t>
  </si>
  <si>
    <t xml:space="preserve">Load per horizontal line </t>
  </si>
  <si>
    <t>WH =</t>
  </si>
  <si>
    <t>N/mm</t>
  </si>
  <si>
    <t>kip/Inch</t>
  </si>
  <si>
    <t xml:space="preserve">Load per vertical line </t>
  </si>
  <si>
    <t>WV =</t>
  </si>
  <si>
    <t>Total load per line</t>
  </si>
  <si>
    <t>W=</t>
  </si>
  <si>
    <t>w &gt;= W / 9.6</t>
  </si>
  <si>
    <t>W / 9.6=</t>
  </si>
  <si>
    <t>D/H</t>
  </si>
  <si>
    <t>If the height of the transformed shell is greater than the maximum height H1, an intermediate wind girder is required.</t>
  </si>
  <si>
    <t>Fix Roof</t>
  </si>
  <si>
    <t>Item</t>
  </si>
  <si>
    <t>Page No</t>
  </si>
  <si>
    <r>
      <rPr>
        <b/>
        <sz val="20"/>
        <color theme="1"/>
        <rFont val="Times New Roman"/>
        <family val="1"/>
      </rPr>
      <t>Annular plate design:</t>
    </r>
    <r>
      <rPr>
        <sz val="11"/>
        <color theme="1"/>
        <rFont val="Times New Roman"/>
        <family val="1"/>
      </rPr>
      <t xml:space="preserve">
</t>
    </r>
  </si>
  <si>
    <t xml:space="preserve">Based on API 650, considering annular plate is not required. Also based on Bob long, the recommended diameter for considering annular plate is 12.5 m. But for proper shell settlement and good stability of tank, the annular plate will be considered. </t>
  </si>
  <si>
    <t>Fix Roof design:</t>
  </si>
  <si>
    <t>Seismic Design (APP."E")</t>
  </si>
  <si>
    <t>Anchor Bolt Sizing</t>
  </si>
  <si>
    <t>Roof(Floating/Fix)</t>
  </si>
  <si>
    <t>Annular plate/Bottom  plate</t>
  </si>
  <si>
    <t>Rafter</t>
  </si>
  <si>
    <t>SA 36</t>
  </si>
  <si>
    <t xml:space="preserve">Insulation </t>
  </si>
  <si>
    <t>Internal</t>
  </si>
  <si>
    <t>External</t>
  </si>
  <si>
    <t>Fabrication Data</t>
  </si>
  <si>
    <t>Thickness(mm)</t>
  </si>
  <si>
    <t>weight (Kg)</t>
  </si>
  <si>
    <t>Shell#1</t>
  </si>
  <si>
    <t>Shell#2</t>
  </si>
  <si>
    <t>Shell#3</t>
  </si>
  <si>
    <t>Shell#4</t>
  </si>
  <si>
    <t>Shell#5</t>
  </si>
  <si>
    <t>Shell#6</t>
  </si>
  <si>
    <t>Fix Roof Plate(Including Structure)</t>
  </si>
  <si>
    <t>Intermediate wind girder</t>
  </si>
  <si>
    <t>Nozzles</t>
  </si>
  <si>
    <t>Spiral Stair way</t>
  </si>
  <si>
    <t>Unseen(3% of total weight)</t>
  </si>
  <si>
    <t>estimate</t>
  </si>
  <si>
    <t xml:space="preserve">Empty </t>
  </si>
  <si>
    <t xml:space="preserve">Hydrotest  </t>
  </si>
  <si>
    <t xml:space="preserve">Operating </t>
  </si>
  <si>
    <t>Weight(kg)</t>
  </si>
  <si>
    <t>Foundation Load Data</t>
  </si>
  <si>
    <t>Seismic</t>
  </si>
  <si>
    <t>Wind</t>
  </si>
  <si>
    <t>Shear(N)</t>
  </si>
  <si>
    <t>Moment (N.m)</t>
  </si>
  <si>
    <t>Ring Wall</t>
  </si>
  <si>
    <t>Slab</t>
  </si>
  <si>
    <t>.</t>
  </si>
  <si>
    <t>HLL</t>
  </si>
  <si>
    <t>Design Liquid Level</t>
  </si>
  <si>
    <t>M.D.M.T</t>
  </si>
  <si>
    <t>Operation Temp.</t>
  </si>
  <si>
    <t>Requirement for Impact Testing</t>
  </si>
  <si>
    <t>Material
Group</t>
  </si>
  <si>
    <t>Required
 M.D.M.T.
(°C)</t>
  </si>
  <si>
    <t xml:space="preserve"> 201.1Ge H D=</t>
  </si>
  <si>
    <r>
      <t>Wa&gt;201.1G</t>
    </r>
    <r>
      <rPr>
        <vertAlign val="subscript"/>
        <sz val="11"/>
        <color theme="1"/>
        <rFont val="Times New Roman"/>
        <family val="1"/>
      </rPr>
      <t>e</t>
    </r>
    <r>
      <rPr>
        <sz val="11"/>
        <color theme="1"/>
        <rFont val="Times New Roman"/>
        <family val="1"/>
      </rPr>
      <t>HD</t>
    </r>
  </si>
  <si>
    <t xml:space="preserve">Shell Compression in Mechanically-Anchored Tanks E.6.2.2.2 </t>
  </si>
  <si>
    <t>E.4.5.2-a</t>
  </si>
  <si>
    <r>
      <t>Tc= 1.8Ks D</t>
    </r>
    <r>
      <rPr>
        <vertAlign val="superscript"/>
        <sz val="11"/>
        <color theme="1"/>
        <rFont val="Times New Roman"/>
        <family val="1"/>
      </rPr>
      <t>0.5</t>
    </r>
  </si>
  <si>
    <t>Inside Diameter of Anchore Bolt:</t>
  </si>
  <si>
    <t xml:space="preserve">Selected top angle: </t>
  </si>
  <si>
    <t>Top angle weight per meter:</t>
  </si>
  <si>
    <t xml:space="preserve">Tank surrounding </t>
  </si>
  <si>
    <t>Total weight of top angle</t>
  </si>
  <si>
    <t xml:space="preserve">Top angle section area </t>
  </si>
  <si>
    <t>Kg/m</t>
  </si>
  <si>
    <r>
      <t>mm</t>
    </r>
    <r>
      <rPr>
        <vertAlign val="superscript"/>
        <sz val="11"/>
        <color theme="1"/>
        <rFont val="Times New Roman"/>
        <family val="1"/>
      </rPr>
      <t>2</t>
    </r>
  </si>
  <si>
    <t>H:Maximum Design Product Level</t>
  </si>
  <si>
    <t>Shell Compression in Mechanically-Anchored Tanks(Para.E.6.2.2.2)</t>
  </si>
  <si>
    <t>Note: E.4.6.1 Spectral Acceleration Coefficients
For tanks falling in SUG III, the mapped value of TL shall be used to
determine both convective forces and sloshing wave height except that the importance factor, I, shall be set equal to
1.0 in the determination of sloshing wave height. In regions outside the USA, where the regulatory requirements for
determining design ground motion differ from the ASCE 7 methods prescribed in this Annex, TL shall be taken as 4
seconds.</t>
  </si>
  <si>
    <t>depth of Submersion</t>
  </si>
  <si>
    <t>m →</t>
  </si>
  <si>
    <t>Summary</t>
  </si>
  <si>
    <t>Selected</t>
  </si>
  <si>
    <t>The Slope of bottom is     1:120</t>
  </si>
  <si>
    <t>(Degree)</t>
  </si>
  <si>
    <t>*Dynamic Liquid Hoop Stress</t>
  </si>
  <si>
    <t>D.L.H.Sthk. (tt) (mm)</t>
  </si>
  <si>
    <t>W(m)</t>
  </si>
  <si>
    <r>
      <t>X</t>
    </r>
    <r>
      <rPr>
        <sz val="9"/>
        <color theme="1"/>
        <rFont val="Times New Roman"/>
        <family val="1"/>
      </rPr>
      <t>i(m)</t>
    </r>
  </si>
  <si>
    <r>
      <t>W</t>
    </r>
    <r>
      <rPr>
        <sz val="9"/>
        <color theme="1"/>
        <rFont val="Times New Roman"/>
        <family val="1"/>
      </rPr>
      <t>i(kg)</t>
    </r>
  </si>
  <si>
    <t>Wi.Xi(Kg.m)</t>
  </si>
  <si>
    <t>Xs=∑(Xi.Wi)/∑Wi</t>
  </si>
  <si>
    <t>center of gravity(m)</t>
  </si>
  <si>
    <t>F1554 Gr.36</t>
  </si>
  <si>
    <t>Anchor bolt material :</t>
  </si>
  <si>
    <t>Ss</t>
  </si>
  <si>
    <t>S1</t>
  </si>
  <si>
    <t>I</t>
  </si>
  <si>
    <t>G=</t>
  </si>
  <si>
    <t>H=</t>
  </si>
  <si>
    <t>γ=</t>
  </si>
  <si>
    <t>tb=</t>
  </si>
  <si>
    <t>L=</t>
  </si>
  <si>
    <t>Fire Water</t>
  </si>
  <si>
    <t>Fa</t>
  </si>
  <si>
    <t>Fv</t>
  </si>
  <si>
    <t>SA516Gr70</t>
  </si>
  <si>
    <t>Total weight (Kg)-Corroded condition:</t>
  </si>
  <si>
    <t>Max,(L,600)=</t>
  </si>
  <si>
    <t xml:space="preserve">Min. Width= Max. (L, 600 mm) + tc1+ 50mm
</t>
  </si>
  <si>
    <r>
      <t>t</t>
    </r>
    <r>
      <rPr>
        <vertAlign val="subscript"/>
        <sz val="16"/>
        <color theme="1"/>
        <rFont val="Arial"/>
        <family val="2"/>
        <scheme val="minor"/>
      </rPr>
      <t>cl</t>
    </r>
    <r>
      <rPr>
        <sz val="16"/>
        <color theme="1"/>
        <rFont val="Arial"/>
        <family val="2"/>
        <scheme val="minor"/>
      </rPr>
      <t>=</t>
    </r>
  </si>
  <si>
    <t>Roof appurtenances center of graviti=</t>
  </si>
  <si>
    <r>
      <t>H</t>
    </r>
    <r>
      <rPr>
        <vertAlign val="subscript"/>
        <sz val="11"/>
        <color theme="1"/>
        <rFont val="Arial"/>
        <family val="2"/>
        <scheme val="minor"/>
      </rPr>
      <t>1</t>
    </r>
    <r>
      <rPr>
        <sz val="11"/>
        <color theme="1"/>
        <rFont val="Arial"/>
        <family val="2"/>
        <scheme val="minor"/>
      </rPr>
      <t>(mm)=</t>
    </r>
  </si>
  <si>
    <t>Pwd(kPa)=</t>
  </si>
  <si>
    <t>Pwv (kPa)=</t>
  </si>
  <si>
    <t>Tank is not stable and cannot be self-anchored for the design load.Modify the annular ring if L&lt;0.0035 D is not controlling or add mechanical anchorage.</t>
  </si>
  <si>
    <t>I : Importance factor Coeff. Set by seismic use group=</t>
  </si>
  <si>
    <t>Bolt Size
(Request)</t>
  </si>
  <si>
    <r>
      <t>mm</t>
    </r>
    <r>
      <rPr>
        <vertAlign val="superscript"/>
        <sz val="18"/>
        <color theme="1"/>
        <rFont val="Times New Roman"/>
        <family val="1"/>
      </rPr>
      <t>2</t>
    </r>
  </si>
  <si>
    <r>
      <t>W</t>
    </r>
    <r>
      <rPr>
        <vertAlign val="subscript"/>
        <sz val="14"/>
        <color theme="1"/>
        <rFont val="Times New Roman"/>
        <family val="1"/>
      </rPr>
      <t>a</t>
    </r>
    <r>
      <rPr>
        <sz val="14"/>
        <color theme="1"/>
        <rFont val="Times New Roman"/>
        <family val="1"/>
      </rPr>
      <t>=</t>
    </r>
  </si>
  <si>
    <r>
      <t>P</t>
    </r>
    <r>
      <rPr>
        <vertAlign val="subscript"/>
        <sz val="14"/>
        <color theme="1"/>
        <rFont val="Times New Roman"/>
        <family val="1"/>
      </rPr>
      <t>a</t>
    </r>
    <r>
      <rPr>
        <sz val="14"/>
        <color theme="1"/>
        <rFont val="Times New Roman"/>
        <family val="1"/>
      </rPr>
      <t>=</t>
    </r>
  </si>
  <si>
    <t>Related documents</t>
  </si>
  <si>
    <t>Document Title</t>
  </si>
  <si>
    <t>Document Number</t>
  </si>
  <si>
    <t>شماره پیمان:</t>
  </si>
  <si>
    <t xml:space="preserve">پروژه </t>
  </si>
  <si>
    <t>بسته کاری</t>
  </si>
  <si>
    <t>صادرکننده</t>
  </si>
  <si>
    <t>تسهیلات</t>
  </si>
  <si>
    <t>رشته</t>
  </si>
  <si>
    <t xml:space="preserve">نوع مدرک </t>
  </si>
  <si>
    <t>سریال</t>
  </si>
  <si>
    <t>نسخه</t>
  </si>
  <si>
    <t>از</t>
  </si>
  <si>
    <t>شماره صفحه:</t>
  </si>
  <si>
    <t xml:space="preserve">053-073 -9184 </t>
  </si>
  <si>
    <t>BK</t>
  </si>
  <si>
    <t>GCS</t>
  </si>
  <si>
    <t>ME</t>
  </si>
  <si>
    <t>V00</t>
  </si>
  <si>
    <t>طرح نگهداشت و افزایش تولید 27 مخزن</t>
  </si>
  <si>
    <t>iDrill M.E.</t>
  </si>
  <si>
    <t>M.Fakharian</t>
  </si>
  <si>
    <t>M.Sadeghian</t>
  </si>
  <si>
    <t>Rev.</t>
  </si>
  <si>
    <t>Date</t>
  </si>
  <si>
    <t>Purpose of Issue / Status</t>
  </si>
  <si>
    <t>Prepared by:</t>
  </si>
  <si>
    <t>Checked by:</t>
  </si>
  <si>
    <t>Approved by:</t>
  </si>
  <si>
    <t>CLIENT Approval</t>
  </si>
  <si>
    <t>CLIENT Doc. Number:</t>
  </si>
  <si>
    <t xml:space="preserve">status:
                              IFA: Issued For Approval
                              IFI: Issued For Information
                              AFC: Approved For Construction 
</t>
  </si>
  <si>
    <t>TK-2301 A / B</t>
  </si>
  <si>
    <t>IRAN- Bushehr</t>
  </si>
  <si>
    <t>E</t>
  </si>
  <si>
    <t>Cone Roof Suported by Rafter</t>
  </si>
  <si>
    <t>ATM+Full of Water+50 H2O</t>
  </si>
  <si>
    <t>AMB.</t>
  </si>
  <si>
    <t>API 650An.E&amp;F / ASCE 7-10</t>
  </si>
  <si>
    <t>II</t>
  </si>
  <si>
    <t>A-283 GR.C</t>
  </si>
  <si>
    <t>A-106 GR.B</t>
  </si>
  <si>
    <t>A-105/A-106 GR.B</t>
  </si>
  <si>
    <t xml:space="preserve">Corrosion allowance: </t>
  </si>
  <si>
    <t xml:space="preserve">The min required thickness for carbon steel is:  </t>
  </si>
  <si>
    <t xml:space="preserve"> +</t>
  </si>
  <si>
    <t xml:space="preserve">Annular plate thickness From table: </t>
  </si>
  <si>
    <t>Selected annular thickness:</t>
  </si>
  <si>
    <t xml:space="preserve">Min. Width of annular = </t>
  </si>
  <si>
    <t>+</t>
  </si>
  <si>
    <t>Type Roof:</t>
  </si>
  <si>
    <t>=</t>
  </si>
  <si>
    <t>Note:Calculations related to behaviors will be provided in a separate file format with SAP software.
Roof Structure Calculation Book For Fire Water Storage Tank (TK-2301A/B)</t>
  </si>
  <si>
    <r>
      <t>Structure  weight</t>
    </r>
    <r>
      <rPr>
        <vertAlign val="superscript"/>
        <sz val="11"/>
        <color theme="1"/>
        <rFont val="Times New Roman"/>
        <family val="1"/>
      </rPr>
      <t>*</t>
    </r>
    <r>
      <rPr>
        <sz val="11"/>
        <color theme="1"/>
        <rFont val="Times New Roman"/>
        <family val="1"/>
      </rPr>
      <t xml:space="preserve"> :</t>
    </r>
  </si>
  <si>
    <t>* will be finalized next revision.</t>
  </si>
  <si>
    <t>Min. Required top angle is 80x80x80 (API 650, 5.1.5.9 (e)).</t>
  </si>
  <si>
    <t>L 80x80x8</t>
  </si>
  <si>
    <t xml:space="preserve">Number of wind girder: ∑Wtr / H1= </t>
  </si>
  <si>
    <t xml:space="preserve">Location of wind girder at the transformed tank: </t>
  </si>
  <si>
    <t xml:space="preserve">For equal stability above and below the wind girder, the girder should be located at the mid height. </t>
  </si>
  <si>
    <t xml:space="preserve">∑Wtr/2=        </t>
  </si>
  <si>
    <t>5.9.5.3 The required minimum section modulus of the top wind girder shall be determined by the following equation:</t>
  </si>
  <si>
    <t>:is the required minimum section modulus</t>
  </si>
  <si>
    <t>:is the nominal tank diameter (for tanks in excess of 61 m diameter, the diameter shall be considered to be 61 m</t>
  </si>
  <si>
    <t>when determining the section modulus)</t>
  </si>
  <si>
    <t>is the height of the tank shell, in meters, including any freeboard provided above the maximum filling height</t>
  </si>
  <si>
    <t>as a guide for a floating roof;</t>
  </si>
  <si>
    <r>
      <t>Cm</t>
    </r>
    <r>
      <rPr>
        <b/>
        <vertAlign val="superscript"/>
        <sz val="11"/>
        <color theme="1"/>
        <rFont val="Arial"/>
        <family val="2"/>
        <scheme val="minor"/>
      </rPr>
      <t>3</t>
    </r>
  </si>
  <si>
    <r>
      <t>H</t>
    </r>
    <r>
      <rPr>
        <b/>
        <vertAlign val="subscript"/>
        <sz val="11"/>
        <color theme="1"/>
        <rFont val="Arial"/>
        <family val="2"/>
        <scheme val="minor"/>
      </rPr>
      <t>2</t>
    </r>
    <r>
      <rPr>
        <b/>
        <sz val="11"/>
        <color theme="1"/>
        <rFont val="Arial"/>
        <family val="2"/>
        <scheme val="minor"/>
      </rPr>
      <t>=</t>
    </r>
  </si>
  <si>
    <r>
      <t>F</t>
    </r>
    <r>
      <rPr>
        <vertAlign val="subscript"/>
        <sz val="11"/>
        <color theme="1"/>
        <rFont val="Arial"/>
        <family val="2"/>
        <scheme val="minor"/>
      </rPr>
      <t>y</t>
    </r>
    <r>
      <rPr>
        <sz val="11"/>
        <color theme="1"/>
        <rFont val="Arial"/>
        <family val="2"/>
        <scheme val="minor"/>
      </rPr>
      <t>=</t>
    </r>
  </si>
  <si>
    <t xml:space="preserve"> or 210 MPa, whichever is less;</t>
  </si>
  <si>
    <t>is the least minimum yield strength of shell and stiffening ring material at maximum operating temperature in Mpa</t>
  </si>
  <si>
    <r>
      <t>P</t>
    </r>
    <r>
      <rPr>
        <vertAlign val="subscript"/>
        <sz val="11"/>
        <color theme="1"/>
        <rFont val="Arial"/>
        <family val="2"/>
        <scheme val="minor"/>
      </rPr>
      <t>wd</t>
    </r>
    <r>
      <rPr>
        <sz val="11"/>
        <color theme="1"/>
        <rFont val="Arial"/>
        <family val="2"/>
        <scheme val="minor"/>
      </rPr>
      <t>=</t>
    </r>
  </si>
  <si>
    <t>is design wind pressure including inward drag = Pwv+0.24 in kPa;</t>
  </si>
  <si>
    <t>kpa</t>
  </si>
  <si>
    <r>
      <t>P</t>
    </r>
    <r>
      <rPr>
        <vertAlign val="subscript"/>
        <sz val="11"/>
        <color theme="1"/>
        <rFont val="Arial"/>
        <family val="2"/>
        <scheme val="minor"/>
      </rPr>
      <t>wv</t>
    </r>
    <r>
      <rPr>
        <sz val="11"/>
        <color theme="1"/>
        <rFont val="Arial"/>
        <family val="2"/>
        <scheme val="minor"/>
      </rPr>
      <t>=</t>
    </r>
  </si>
  <si>
    <t>is wind pressure at 10 m above ground per applicable building code considering all applicable factors, such</t>
  </si>
  <si>
    <t>as gust factor, exposure factor, height factor, importance factor, in (kPa), or</t>
  </si>
  <si>
    <t>is design wind pressure =</t>
  </si>
  <si>
    <t xml:space="preserve"> in kPa where design wind speed (V) is used;</t>
  </si>
  <si>
    <t>is the design wind speed (3-sec gust), in km/h [see 5.2.1k)].</t>
  </si>
  <si>
    <t>km/hr</t>
  </si>
  <si>
    <t xml:space="preserve">We consider an angle with size of </t>
  </si>
  <si>
    <t>, so:</t>
  </si>
  <si>
    <t>a =</t>
  </si>
  <si>
    <t>S =</t>
  </si>
  <si>
    <t>e =</t>
  </si>
  <si>
    <t>cm</t>
  </si>
  <si>
    <r>
      <t>cm</t>
    </r>
    <r>
      <rPr>
        <vertAlign val="superscript"/>
        <sz val="11"/>
        <color theme="1"/>
        <rFont val="Arial"/>
        <family val="2"/>
        <scheme val="minor"/>
      </rPr>
      <t>2</t>
    </r>
  </si>
  <si>
    <t>Iz=Iy=</t>
  </si>
  <si>
    <r>
      <t>cm</t>
    </r>
    <r>
      <rPr>
        <vertAlign val="superscript"/>
        <sz val="11"/>
        <color theme="1"/>
        <rFont val="Arial"/>
        <family val="2"/>
        <scheme val="minor"/>
      </rPr>
      <t>4</t>
    </r>
  </si>
  <si>
    <t>C1= distance from base right axis to angle's natural axis=</t>
  </si>
  <si>
    <t>C2= distance from base left axis to angle's natural axis=</t>
  </si>
  <si>
    <r>
      <t>t</t>
    </r>
    <r>
      <rPr>
        <vertAlign val="subscript"/>
        <sz val="11"/>
        <color theme="1"/>
        <rFont val="Arial"/>
        <family val="2"/>
        <scheme val="minor"/>
      </rPr>
      <t>1</t>
    </r>
    <r>
      <rPr>
        <sz val="11"/>
        <color theme="1"/>
        <rFont val="Arial"/>
        <family val="2"/>
        <scheme val="minor"/>
      </rPr>
      <t>= Thickness of shell at as-built shell=</t>
    </r>
  </si>
  <si>
    <r>
      <t>W</t>
    </r>
    <r>
      <rPr>
        <vertAlign val="subscript"/>
        <sz val="11"/>
        <color theme="1"/>
        <rFont val="Arial"/>
        <family val="2"/>
        <scheme val="minor"/>
      </rPr>
      <t>1</t>
    </r>
    <r>
      <rPr>
        <sz val="11"/>
        <color theme="1"/>
        <rFont val="Arial"/>
        <family val="2"/>
        <scheme val="minor"/>
      </rPr>
      <t>= Effective width of shell plate= 2*16*t1=</t>
    </r>
  </si>
  <si>
    <r>
      <t>A</t>
    </r>
    <r>
      <rPr>
        <vertAlign val="subscript"/>
        <sz val="11"/>
        <color theme="1"/>
        <rFont val="Arial"/>
        <family val="2"/>
        <scheme val="minor"/>
      </rPr>
      <t>i</t>
    </r>
    <r>
      <rPr>
        <sz val="11"/>
        <color theme="1"/>
        <rFont val="Arial"/>
        <family val="2"/>
        <scheme val="minor"/>
      </rPr>
      <t>= Area of each elements (cm2)</t>
    </r>
  </si>
  <si>
    <r>
      <t>Y</t>
    </r>
    <r>
      <rPr>
        <vertAlign val="subscript"/>
        <sz val="11"/>
        <color theme="1"/>
        <rFont val="Arial"/>
        <family val="2"/>
        <scheme val="minor"/>
      </rPr>
      <t>i</t>
    </r>
    <r>
      <rPr>
        <sz val="11"/>
        <color theme="1"/>
        <rFont val="Arial"/>
        <family val="2"/>
        <scheme val="minor"/>
      </rPr>
      <t>= Distance to centroid of each elements (cm)</t>
    </r>
  </si>
  <si>
    <t>Cm</t>
  </si>
  <si>
    <r>
      <t>Ig= Moment inertia of each plane element with respect to vertical axis through its centroid (cm</t>
    </r>
    <r>
      <rPr>
        <vertAlign val="superscript"/>
        <sz val="11"/>
        <color theme="1"/>
        <rFont val="Arial"/>
        <family val="2"/>
        <scheme val="minor"/>
      </rPr>
      <t>4</t>
    </r>
    <r>
      <rPr>
        <sz val="11"/>
        <color theme="1"/>
        <rFont val="Arial"/>
        <family val="2"/>
        <scheme val="minor"/>
      </rPr>
      <t>)</t>
    </r>
  </si>
  <si>
    <t>Element No.</t>
  </si>
  <si>
    <r>
      <t>A</t>
    </r>
    <r>
      <rPr>
        <vertAlign val="subscript"/>
        <sz val="14"/>
        <color theme="1"/>
        <rFont val="Arial"/>
        <family val="2"/>
        <scheme val="minor"/>
      </rPr>
      <t>i</t>
    </r>
    <r>
      <rPr>
        <sz val="14"/>
        <color theme="1"/>
        <rFont val="Arial"/>
        <family val="2"/>
        <scheme val="minor"/>
      </rPr>
      <t>(cm</t>
    </r>
    <r>
      <rPr>
        <vertAlign val="superscript"/>
        <sz val="14"/>
        <color theme="1"/>
        <rFont val="Arial"/>
        <family val="2"/>
        <scheme val="minor"/>
      </rPr>
      <t>2</t>
    </r>
    <r>
      <rPr>
        <sz val="14"/>
        <color theme="1"/>
        <rFont val="Arial"/>
        <family val="2"/>
        <scheme val="minor"/>
      </rPr>
      <t>)</t>
    </r>
  </si>
  <si>
    <r>
      <t>Y</t>
    </r>
    <r>
      <rPr>
        <vertAlign val="subscript"/>
        <sz val="14"/>
        <color theme="1"/>
        <rFont val="Arial"/>
        <family val="2"/>
        <scheme val="minor"/>
      </rPr>
      <t>i</t>
    </r>
    <r>
      <rPr>
        <sz val="14"/>
        <color theme="1"/>
        <rFont val="Arial"/>
        <family val="2"/>
        <scheme val="minor"/>
      </rPr>
      <t>(cm)</t>
    </r>
  </si>
  <si>
    <r>
      <t>A</t>
    </r>
    <r>
      <rPr>
        <vertAlign val="subscript"/>
        <sz val="14"/>
        <color theme="1"/>
        <rFont val="Arial"/>
        <family val="2"/>
        <scheme val="minor"/>
      </rPr>
      <t>i</t>
    </r>
    <r>
      <rPr>
        <sz val="14"/>
        <color theme="1"/>
        <rFont val="Arial"/>
        <family val="2"/>
        <scheme val="minor"/>
      </rPr>
      <t xml:space="preserve"> * Y</t>
    </r>
    <r>
      <rPr>
        <vertAlign val="subscript"/>
        <sz val="14"/>
        <color theme="1"/>
        <rFont val="Arial"/>
        <family val="2"/>
        <scheme val="minor"/>
      </rPr>
      <t>i</t>
    </r>
  </si>
  <si>
    <r>
      <t>Y</t>
    </r>
    <r>
      <rPr>
        <vertAlign val="subscript"/>
        <sz val="14"/>
        <color theme="1"/>
        <rFont val="Arial"/>
        <family val="2"/>
        <scheme val="minor"/>
      </rPr>
      <t xml:space="preserve">i </t>
    </r>
    <r>
      <rPr>
        <sz val="14"/>
        <color theme="1"/>
        <rFont val="Arial"/>
        <family val="2"/>
        <scheme val="minor"/>
      </rPr>
      <t>'(cm)</t>
    </r>
  </si>
  <si>
    <r>
      <t>A</t>
    </r>
    <r>
      <rPr>
        <vertAlign val="subscript"/>
        <sz val="14"/>
        <color theme="1"/>
        <rFont val="Arial"/>
        <family val="2"/>
        <scheme val="minor"/>
      </rPr>
      <t>i</t>
    </r>
    <r>
      <rPr>
        <sz val="14"/>
        <color theme="1"/>
        <rFont val="Arial"/>
        <family val="2"/>
        <scheme val="minor"/>
      </rPr>
      <t xml:space="preserve"> * Y</t>
    </r>
    <r>
      <rPr>
        <vertAlign val="subscript"/>
        <sz val="14"/>
        <color theme="1"/>
        <rFont val="Arial"/>
        <family val="2"/>
        <scheme val="minor"/>
      </rPr>
      <t>i</t>
    </r>
    <r>
      <rPr>
        <sz val="14"/>
        <color theme="1"/>
        <rFont val="Arial"/>
        <family val="2"/>
        <scheme val="minor"/>
      </rPr>
      <t xml:space="preserve"> '(cm</t>
    </r>
    <r>
      <rPr>
        <vertAlign val="superscript"/>
        <sz val="14"/>
        <color theme="1"/>
        <rFont val="Arial"/>
        <family val="2"/>
        <scheme val="minor"/>
      </rPr>
      <t>3</t>
    </r>
    <r>
      <rPr>
        <sz val="14"/>
        <color theme="1"/>
        <rFont val="Arial"/>
        <family val="2"/>
        <scheme val="minor"/>
      </rPr>
      <t>)</t>
    </r>
  </si>
  <si>
    <r>
      <t>Ig(cm</t>
    </r>
    <r>
      <rPr>
        <vertAlign val="superscript"/>
        <sz val="14"/>
        <color theme="1"/>
        <rFont val="Arial"/>
        <family val="2"/>
        <scheme val="minor"/>
      </rPr>
      <t>4</t>
    </r>
    <r>
      <rPr>
        <sz val="14"/>
        <color theme="1"/>
        <rFont val="Arial"/>
        <family val="2"/>
        <scheme val="minor"/>
      </rPr>
      <t>)</t>
    </r>
  </si>
  <si>
    <t>Total</t>
  </si>
  <si>
    <t>Cnew1=  ∑ (Ai. Yi) /  ∑ (Ai)=</t>
  </si>
  <si>
    <t>Cnew2=  ∑ (Ai. Yi ') /  ∑ (Ai)=</t>
  </si>
  <si>
    <t>Cc= Max ( Cnew1 , Cnew2)=</t>
  </si>
  <si>
    <t>d1=</t>
  </si>
  <si>
    <t>d2=</t>
  </si>
  <si>
    <t>I= [Ishell + (Ashell.dshell2)] +  [Iangle + (Aangle.dangle2)]</t>
  </si>
  <si>
    <t>d = Distance between new natural axis and old natural axis for every element</t>
  </si>
  <si>
    <t>Zc = I / Cc</t>
  </si>
  <si>
    <r>
      <t>cm</t>
    </r>
    <r>
      <rPr>
        <vertAlign val="superscript"/>
        <sz val="11"/>
        <color theme="1"/>
        <rFont val="Arial"/>
        <family val="2"/>
        <scheme val="minor"/>
      </rPr>
      <t>3</t>
    </r>
  </si>
  <si>
    <r>
      <t>I=  ∑ [Ii + (Ai.di</t>
    </r>
    <r>
      <rPr>
        <vertAlign val="superscript"/>
        <sz val="11"/>
        <color theme="1"/>
        <rFont val="Arial"/>
        <family val="2"/>
        <scheme val="minor"/>
      </rPr>
      <t>2</t>
    </r>
    <r>
      <rPr>
        <sz val="11"/>
        <color theme="1"/>
        <rFont val="Arial"/>
        <family val="2"/>
        <scheme val="minor"/>
      </rPr>
      <t>)]=</t>
    </r>
  </si>
  <si>
    <r>
      <t>cm</t>
    </r>
    <r>
      <rPr>
        <vertAlign val="superscript"/>
        <sz val="11"/>
        <color theme="1"/>
        <rFont val="Times New Roman"/>
        <family val="1"/>
      </rPr>
      <t>4</t>
    </r>
  </si>
  <si>
    <t>QTY=</t>
  </si>
  <si>
    <t>0.7 δs</t>
  </si>
  <si>
    <t>V01</t>
  </si>
  <si>
    <t>V02</t>
  </si>
  <si>
    <t>V03</t>
  </si>
  <si>
    <t>V04</t>
  </si>
  <si>
    <t>V05</t>
  </si>
  <si>
    <t>V06</t>
  </si>
  <si>
    <t>V07</t>
  </si>
  <si>
    <t>X(mm)</t>
  </si>
  <si>
    <t>Thk. Range</t>
  </si>
  <si>
    <r>
      <t>6</t>
    </r>
    <r>
      <rPr>
        <sz val="11"/>
        <color theme="1"/>
        <rFont val="Cascadia Code Light"/>
        <family val="3"/>
      </rPr>
      <t>≤</t>
    </r>
    <r>
      <rPr>
        <sz val="11"/>
        <color theme="1"/>
        <rFont val="Times New Roman"/>
        <family val="1"/>
      </rPr>
      <t>X&lt;13</t>
    </r>
  </si>
  <si>
    <r>
      <t>6</t>
    </r>
    <r>
      <rPr>
        <sz val="11"/>
        <color theme="1"/>
        <rFont val="Cascadia Code Light"/>
        <family val="3"/>
      </rPr>
      <t>≤</t>
    </r>
    <r>
      <rPr>
        <sz val="11"/>
        <color theme="1"/>
        <rFont val="Times New Roman"/>
        <family val="1"/>
      </rPr>
      <t>X&lt;14</t>
    </r>
    <r>
      <rPr>
        <sz val="11"/>
        <color theme="1"/>
        <rFont val="Arial"/>
        <family val="2"/>
        <scheme val="minor"/>
      </rPr>
      <t/>
    </r>
  </si>
  <si>
    <r>
      <t>6</t>
    </r>
    <r>
      <rPr>
        <sz val="11"/>
        <color theme="1"/>
        <rFont val="Cascadia Code Light"/>
        <family val="3"/>
      </rPr>
      <t>≤</t>
    </r>
    <r>
      <rPr>
        <sz val="11"/>
        <color theme="1"/>
        <rFont val="Times New Roman"/>
        <family val="1"/>
      </rPr>
      <t>X&lt;15</t>
    </r>
    <r>
      <rPr>
        <sz val="11"/>
        <color theme="1"/>
        <rFont val="Arial"/>
        <family val="2"/>
        <scheme val="minor"/>
      </rPr>
      <t/>
    </r>
  </si>
  <si>
    <r>
      <t>6</t>
    </r>
    <r>
      <rPr>
        <sz val="11"/>
        <color theme="1"/>
        <rFont val="Cascadia Code Light"/>
        <family val="3"/>
      </rPr>
      <t>≤</t>
    </r>
    <r>
      <rPr>
        <sz val="11"/>
        <color theme="1"/>
        <rFont val="Times New Roman"/>
        <family val="1"/>
      </rPr>
      <t>X&lt;16</t>
    </r>
    <r>
      <rPr>
        <sz val="11"/>
        <color theme="1"/>
        <rFont val="Arial"/>
        <family val="2"/>
        <scheme val="minor"/>
      </rPr>
      <t/>
    </r>
  </si>
  <si>
    <r>
      <t>6</t>
    </r>
    <r>
      <rPr>
        <sz val="11"/>
        <color theme="1"/>
        <rFont val="Cascadia Code Light"/>
        <family val="3"/>
      </rPr>
      <t>≤</t>
    </r>
    <r>
      <rPr>
        <sz val="11"/>
        <color theme="1"/>
        <rFont val="Times New Roman"/>
        <family val="1"/>
      </rPr>
      <t>X&lt;17</t>
    </r>
    <r>
      <rPr>
        <sz val="11"/>
        <color theme="1"/>
        <rFont val="Arial"/>
        <family val="2"/>
        <scheme val="minor"/>
      </rPr>
      <t/>
    </r>
  </si>
  <si>
    <r>
      <t>6</t>
    </r>
    <r>
      <rPr>
        <sz val="11"/>
        <color theme="1"/>
        <rFont val="Cascadia Code Light"/>
        <family val="3"/>
      </rPr>
      <t>≤</t>
    </r>
    <r>
      <rPr>
        <sz val="11"/>
        <color theme="1"/>
        <rFont val="Times New Roman"/>
        <family val="1"/>
      </rPr>
      <t>X&lt;18</t>
    </r>
    <r>
      <rPr>
        <sz val="11"/>
        <color theme="1"/>
        <rFont val="Arial"/>
        <family val="2"/>
        <scheme val="minor"/>
      </rPr>
      <t/>
    </r>
  </si>
  <si>
    <t>Y(°C)</t>
  </si>
  <si>
    <t>0.89(V/190)^2 =</t>
  </si>
  <si>
    <t>1.48(V/190)^2 =</t>
  </si>
  <si>
    <t>IDR</t>
  </si>
  <si>
    <t>CN</t>
  </si>
  <si>
    <t>IFI</t>
  </si>
  <si>
    <t>0003</t>
  </si>
  <si>
    <t>ROOF STRUCTURE  CALCULATION FOR FIRE WATER TANKS  (TK-2301 A/B)</t>
  </si>
  <si>
    <t>BK-GCS-IDR-120-ST-CN-0002</t>
  </si>
  <si>
    <t>VENT CALCULATION FOR FIRE WATER TANKS  (TK-2301 A/B)</t>
  </si>
  <si>
    <t>BK-GCS-IDR-120-NO-CN-0005</t>
  </si>
  <si>
    <t>نگهداشت و افزایش تولید میدان نفتی بینک
سطح الارض و ابنیه تحت الارض 
خرید مخازن ذخیره گاز ایستگاه تقویت فشار گاز بینک 
(قرارداد BK-HD-GCS-CO-0026_00 )</t>
  </si>
  <si>
    <t>Nov.2024</t>
  </si>
  <si>
    <t>SA193B7/194-2 H</t>
  </si>
  <si>
    <t xml:space="preserve"> weight (Kg)</t>
  </si>
  <si>
    <t>Corroded  weight (Kg)</t>
  </si>
  <si>
    <t>Bottom plate weight (including annular)    kg</t>
  </si>
  <si>
    <t>Total weight (Kg)-Corroded condition  kg :</t>
  </si>
  <si>
    <t>So, 1 intermediate W.G. is required</t>
  </si>
  <si>
    <t xml:space="preserve">For exact location: </t>
  </si>
  <si>
    <r>
      <t>(</t>
    </r>
    <r>
      <rPr>
        <sz val="11"/>
        <color theme="1"/>
        <rFont val="Times New Roman"/>
        <family val="1"/>
      </rPr>
      <t>±</t>
    </r>
    <r>
      <rPr>
        <sz val="12.1"/>
        <color theme="1"/>
        <rFont val="Calibri"/>
        <family val="2"/>
      </rPr>
      <t xml:space="preserve"> 500 mm,</t>
    </r>
    <r>
      <rPr>
        <sz val="11"/>
        <color theme="1"/>
        <rFont val="Arial"/>
        <family val="2"/>
        <scheme val="minor"/>
      </rPr>
      <t>from Top Angle)</t>
    </r>
  </si>
  <si>
    <t>L120x120x12</t>
  </si>
  <si>
    <t>SDS : Design Spectral response acceleration parameter at short period (Q*Fa*Ss)</t>
  </si>
  <si>
    <t xml:space="preserve"> (650 kg overl lap)</t>
  </si>
  <si>
    <t>Mechanical Calculation Book For Fire Water Tanks (TK-2301A/B)</t>
  </si>
  <si>
    <r>
      <rPr>
        <b/>
        <sz val="15"/>
        <rFont val="Times New Roman"/>
        <family val="1"/>
      </rPr>
      <t>Mechanical Calculation Book For Fire Water Tanks (TK-2301A/B)</t>
    </r>
    <r>
      <rPr>
        <sz val="15"/>
        <rFont val="Times New Roman"/>
        <family val="1"/>
      </rPr>
      <t xml:space="preserve">
</t>
    </r>
    <r>
      <rPr>
        <sz val="15"/>
        <color theme="4" tint="-0.499984740745262"/>
        <rFont val="Times New Roman"/>
        <family val="1"/>
      </rPr>
      <t xml:space="preserve">نگهداشت و افزایش تولید میدان نفتی بینک </t>
    </r>
    <r>
      <rPr>
        <sz val="15"/>
        <rFont val="Times New Roman"/>
        <family val="1"/>
      </rPr>
      <t xml:space="preserve">
</t>
    </r>
  </si>
  <si>
    <r>
      <t>Mechanical Calculation Book For Fire Water Tanks (TK-2301A/B)</t>
    </r>
    <r>
      <rPr>
        <sz val="15"/>
        <rFont val="Times New Roman"/>
        <family val="1"/>
      </rPr>
      <t xml:space="preserve">
</t>
    </r>
    <r>
      <rPr>
        <sz val="15"/>
        <color theme="4" tint="-0.499984740745262"/>
        <rFont val="Times New Roman"/>
        <family val="1"/>
      </rPr>
      <t xml:space="preserve">نگهداشت و افزایش تولید میدان نفتی بینک </t>
    </r>
    <r>
      <rPr>
        <sz val="15"/>
        <rFont val="Times New Roman"/>
        <family val="1"/>
      </rPr>
      <t xml:space="preserve">
</t>
    </r>
  </si>
  <si>
    <t xml:space="preserve">                      </t>
  </si>
  <si>
    <t>Dec.2024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</si>
</sst>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00_-;_-* #,##0.00\-;_-* &quot;-&quot;??_-;_-@_-"/>
    <numFmt numFmtId="166" formatCode="0.0"/>
    <numFmt numFmtId="167" formatCode="0.000"/>
    <numFmt numFmtId="168" formatCode="#,##0.0"/>
  </numFmts>
  <fonts count="88">
    <font>
      <sz val="11"/>
      <color theme="1"/>
      <name val="Arial"/>
      <family val="2"/>
      <scheme val="minor"/>
    </font>
    <font>
      <b/>
      <sz val="11"/>
      <color theme="1"/>
      <name val="Arial"/>
      <family val="2"/>
      <scheme val="minor"/>
    </font>
    <font>
      <sz val="9"/>
      <color theme="1"/>
      <name val="Arial"/>
      <family val="2"/>
      <scheme val="minor"/>
    </font>
    <font>
      <sz val="12"/>
      <color theme="1"/>
      <name val="Arial"/>
      <family val="2"/>
      <scheme val="minor"/>
    </font>
    <font>
      <sz val="18"/>
      <color theme="1"/>
      <name val="Arial"/>
      <family val="2"/>
      <scheme val="minor"/>
    </font>
    <font>
      <sz val="20"/>
      <color theme="1"/>
      <name val="Arial"/>
      <family val="2"/>
      <scheme val="minor"/>
    </font>
    <font>
      <b/>
      <sz val="22"/>
      <color theme="1"/>
      <name val="Arial"/>
      <family val="2"/>
      <scheme val="minor"/>
    </font>
    <font>
      <sz val="8"/>
      <color theme="1"/>
      <name val="Arial"/>
      <family val="2"/>
      <scheme val="minor"/>
    </font>
    <font>
      <sz val="12"/>
      <color theme="1"/>
      <name val="Calibri"/>
      <family val="2"/>
    </font>
    <font>
      <b/>
      <sz val="12"/>
      <color theme="1"/>
      <name val="Arial"/>
      <family val="2"/>
      <scheme val="minor"/>
    </font>
    <font>
      <b/>
      <sz val="14"/>
      <color theme="1"/>
      <name val="Arial"/>
      <family val="2"/>
      <scheme val="minor"/>
    </font>
    <font>
      <sz val="11"/>
      <color theme="1"/>
      <name val="Arial"/>
      <family val="2"/>
      <scheme val="minor"/>
    </font>
    <font>
      <sz val="11"/>
      <color rgb="FFFF0000"/>
      <name val="Arial"/>
      <family val="2"/>
      <scheme val="minor"/>
    </font>
    <font>
      <b/>
      <sz val="8"/>
      <color theme="1"/>
      <name val="Arial"/>
      <family val="2"/>
      <scheme val="minor"/>
    </font>
    <font>
      <sz val="11"/>
      <color theme="1"/>
      <name val="Calibri"/>
      <family val="2"/>
    </font>
    <font>
      <b/>
      <sz val="16"/>
      <color theme="1"/>
      <name val="Arial"/>
      <family val="2"/>
      <scheme val="minor"/>
    </font>
    <font>
      <sz val="10"/>
      <color theme="1"/>
      <name val="Arial"/>
      <family val="2"/>
      <scheme val="minor"/>
    </font>
    <font>
      <b/>
      <sz val="20"/>
      <color theme="1"/>
      <name val="Arial"/>
      <family val="2"/>
      <scheme val="minor"/>
    </font>
    <font>
      <b/>
      <sz val="18"/>
      <color theme="1"/>
      <name val="Arial"/>
      <family val="2"/>
      <scheme val="minor"/>
    </font>
    <font>
      <b/>
      <sz val="11"/>
      <color theme="1"/>
      <name val="Calibri"/>
      <family val="2"/>
    </font>
    <font>
      <b/>
      <sz val="22"/>
      <color theme="1"/>
      <name val="Calibri"/>
      <family val="2"/>
    </font>
    <font>
      <b/>
      <sz val="12"/>
      <color theme="1"/>
      <name val="Times New Roman"/>
      <family val="1"/>
    </font>
    <font>
      <sz val="11"/>
      <color theme="1"/>
      <name val="Wingdings 2"/>
      <family val="1"/>
      <charset val="2"/>
    </font>
    <font>
      <sz val="11"/>
      <color rgb="FF00B050"/>
      <name val="Arial"/>
      <family val="2"/>
      <scheme val="minor"/>
    </font>
    <font>
      <b/>
      <sz val="10"/>
      <color theme="1"/>
      <name val="Arial"/>
      <family val="2"/>
      <scheme val="minor"/>
    </font>
    <font>
      <sz val="11"/>
      <color rgb="FF002060"/>
      <name val="Arial"/>
      <family val="2"/>
      <scheme val="minor"/>
    </font>
    <font>
      <sz val="11"/>
      <color theme="1"/>
      <name val="Times New Roman"/>
      <family val="1"/>
    </font>
    <font>
      <b/>
      <sz val="16"/>
      <color rgb="FF00B050"/>
      <name val="Arial"/>
      <family val="2"/>
      <scheme val="minor"/>
    </font>
    <font>
      <b/>
      <sz val="14"/>
      <color rgb="FF00B050"/>
      <name val="Arial"/>
      <family val="2"/>
      <scheme val="minor"/>
    </font>
    <font>
      <b/>
      <sz val="18"/>
      <color rgb="FF00B050"/>
      <name val="Arial"/>
      <family val="2"/>
      <scheme val="minor"/>
    </font>
    <font>
      <sz val="10"/>
      <name val="Arial"/>
      <family val="2"/>
    </font>
    <font>
      <b/>
      <sz val="10"/>
      <name val="Times New Roman"/>
      <family val="1"/>
    </font>
    <font>
      <sz val="10"/>
      <color theme="1"/>
      <name val="Times New Roman"/>
      <family val="1"/>
    </font>
    <font>
      <b/>
      <sz val="11"/>
      <color theme="1"/>
      <name val="Times New Roman"/>
      <family val="1"/>
    </font>
    <font>
      <sz val="8"/>
      <color theme="1"/>
      <name val="Times New Roman"/>
      <family val="1"/>
    </font>
    <font>
      <b/>
      <sz val="9"/>
      <color theme="1"/>
      <name val="Times New Roman"/>
      <family val="1"/>
    </font>
    <font>
      <sz val="12"/>
      <color theme="1"/>
      <name val="Times New Roman"/>
      <family val="1"/>
    </font>
    <font>
      <sz val="9"/>
      <color theme="1"/>
      <name val="Times New Roman"/>
      <family val="1"/>
    </font>
    <font>
      <b/>
      <sz val="10"/>
      <color theme="1"/>
      <name val="Times New Roman"/>
      <family val="1"/>
    </font>
    <font>
      <b/>
      <sz val="8"/>
      <color theme="1"/>
      <name val="Times New Roman"/>
      <family val="1"/>
    </font>
    <font>
      <b/>
      <sz val="14"/>
      <color theme="1"/>
      <name val="Times New Roman"/>
      <family val="1"/>
    </font>
    <font>
      <sz val="18"/>
      <color theme="1"/>
      <name val="Times New Roman"/>
      <family val="1"/>
    </font>
    <font>
      <sz val="11"/>
      <name val="Times New Roman"/>
      <family val="1"/>
    </font>
    <font>
      <sz val="8"/>
      <name val="Arial"/>
      <family val="2"/>
      <scheme val="minor"/>
    </font>
    <font>
      <sz val="22"/>
      <color theme="1"/>
      <name val="Times New Roman"/>
      <family val="1"/>
    </font>
    <font>
      <sz val="11"/>
      <color rgb="FF002060"/>
      <name val="Times New Roman"/>
      <family val="1"/>
    </font>
    <font>
      <b/>
      <sz val="16"/>
      <color theme="1"/>
      <name val="Times New Roman"/>
      <family val="1"/>
    </font>
    <font>
      <b/>
      <sz val="20"/>
      <color theme="1"/>
      <name val="Times New Roman"/>
      <family val="1"/>
    </font>
    <font>
      <b/>
      <sz val="18"/>
      <color theme="1"/>
      <name val="Times New Roman"/>
      <family val="1"/>
    </font>
    <font>
      <sz val="11"/>
      <color rgb="FFFF0000"/>
      <name val="Times New Roman"/>
      <family val="1"/>
    </font>
    <font>
      <sz val="8"/>
      <color rgb="FFFF0000"/>
      <name val="Times New Roman"/>
      <family val="1"/>
    </font>
    <font>
      <b/>
      <sz val="22"/>
      <color theme="1"/>
      <name val="Times New Roman"/>
      <family val="1"/>
    </font>
    <font>
      <sz val="7"/>
      <color theme="1"/>
      <name val="Times New Roman"/>
      <family val="1"/>
    </font>
    <font>
      <sz val="14"/>
      <color theme="1"/>
      <name val="Times New Roman"/>
      <family val="1"/>
    </font>
    <font>
      <sz val="10"/>
      <color rgb="FFFF0000"/>
      <name val="Times New Roman"/>
      <family val="1"/>
    </font>
    <font>
      <sz val="9"/>
      <color rgb="FFFF0000"/>
      <name val="Times New Roman"/>
      <family val="1"/>
    </font>
    <font>
      <b/>
      <i/>
      <sz val="11"/>
      <color theme="1"/>
      <name val="Times New Roman"/>
      <family val="1"/>
    </font>
    <font>
      <b/>
      <sz val="12"/>
      <name val="Times New Roman"/>
      <family val="1"/>
    </font>
    <font>
      <sz val="11"/>
      <color rgb="FF00B050"/>
      <name val="Times New Roman"/>
      <family val="1"/>
    </font>
    <font>
      <b/>
      <sz val="8"/>
      <name val="Times New Roman"/>
      <family val="1"/>
    </font>
    <font>
      <sz val="20"/>
      <color theme="1"/>
      <name val="Times New Roman"/>
      <family val="1"/>
    </font>
    <font>
      <sz val="11"/>
      <name val="Arial"/>
      <family val="2"/>
      <scheme val="minor"/>
    </font>
    <font>
      <sz val="15"/>
      <name val="Times New Roman"/>
      <family val="1"/>
    </font>
    <font>
      <sz val="11"/>
      <color theme="1"/>
      <name val="Wingdings"/>
      <charset val="2"/>
    </font>
    <font>
      <sz val="11"/>
      <color theme="1"/>
      <name val="Wingdings 3"/>
      <family val="1"/>
      <charset val="2"/>
    </font>
    <font>
      <vertAlign val="subscript"/>
      <sz val="14"/>
      <color theme="1"/>
      <name val="Times New Roman"/>
      <family val="1"/>
    </font>
    <font>
      <vertAlign val="superscript"/>
      <sz val="14"/>
      <color theme="1"/>
      <name val="Times New Roman"/>
      <family val="1"/>
    </font>
    <font>
      <sz val="12"/>
      <color theme="1"/>
      <name val="Wingdings"/>
      <charset val="2"/>
    </font>
    <font>
      <vertAlign val="subscript"/>
      <sz val="11"/>
      <color theme="1"/>
      <name val="Times New Roman"/>
      <family val="1"/>
    </font>
    <font>
      <vertAlign val="superscript"/>
      <sz val="11"/>
      <color theme="1"/>
      <name val="Times New Roman"/>
      <family val="1"/>
    </font>
    <font>
      <sz val="14"/>
      <color theme="1"/>
      <name val="Arial"/>
      <family val="2"/>
      <scheme val="minor"/>
    </font>
    <font>
      <i/>
      <sz val="14"/>
      <color theme="1"/>
      <name val="Arial"/>
      <family val="2"/>
      <scheme val="minor"/>
    </font>
    <font>
      <sz val="12"/>
      <name val="Times New Roman"/>
      <family val="1"/>
    </font>
    <font>
      <vertAlign val="subscript"/>
      <sz val="11"/>
      <color theme="1"/>
      <name val="Arial"/>
      <family val="2"/>
      <scheme val="minor"/>
    </font>
    <font>
      <sz val="16"/>
      <color theme="1"/>
      <name val="Arial"/>
      <family val="2"/>
      <scheme val="minor"/>
    </font>
    <font>
      <vertAlign val="subscript"/>
      <sz val="16"/>
      <color theme="1"/>
      <name val="Arial"/>
      <family val="2"/>
      <scheme val="minor"/>
    </font>
    <font>
      <sz val="18"/>
      <color theme="1"/>
      <name val="Calibri"/>
      <family val="2"/>
    </font>
    <font>
      <vertAlign val="superscript"/>
      <sz val="18"/>
      <color theme="1"/>
      <name val="Times New Roman"/>
      <family val="1"/>
    </font>
    <font>
      <b/>
      <sz val="20"/>
      <color theme="4" tint="-0.249977111117893"/>
      <name val="B Nazanin"/>
      <charset val="178"/>
    </font>
    <font>
      <sz val="15"/>
      <color theme="4" tint="-0.499984740745262"/>
      <name val="Times New Roman"/>
      <family val="1"/>
    </font>
    <font>
      <vertAlign val="superscript"/>
      <sz val="11"/>
      <color theme="1"/>
      <name val="Arial"/>
      <family val="2"/>
      <scheme val="minor"/>
    </font>
    <font>
      <b/>
      <vertAlign val="superscript"/>
      <sz val="11"/>
      <color theme="1"/>
      <name val="Arial"/>
      <family val="2"/>
      <scheme val="minor"/>
    </font>
    <font>
      <b/>
      <vertAlign val="subscript"/>
      <sz val="11"/>
      <color theme="1"/>
      <name val="Arial"/>
      <family val="2"/>
      <scheme val="minor"/>
    </font>
    <font>
      <vertAlign val="subscript"/>
      <sz val="14"/>
      <color theme="1"/>
      <name val="Arial"/>
      <family val="2"/>
      <scheme val="minor"/>
    </font>
    <font>
      <vertAlign val="superscript"/>
      <sz val="14"/>
      <color theme="1"/>
      <name val="Arial"/>
      <family val="2"/>
      <scheme val="minor"/>
    </font>
    <font>
      <sz val="11"/>
      <color theme="1"/>
      <name val="Cascadia Code Light"/>
      <family val="3"/>
    </font>
    <font>
      <sz val="12.1"/>
      <color theme="1"/>
      <name val="Calibri"/>
      <family val="2"/>
    </font>
    <font>
      <b/>
      <sz val="15"/>
      <name val="Times New Roman"/>
      <family val="1"/>
    </font>
  </fonts>
  <fills count="14">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7"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10">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164" fontId="11" fillId="0" borderId="0" applyFont="0" applyFill="0" applyBorder="0" applyAlignment="0" applyProtection="0"/>
    <xf numFmtId="0" fontId="30" fillId="0" borderId="0"/>
    <xf numFmtId="0" fontId="30" fillId="0" borderId="0"/>
    <xf numFmtId="165" fontId="11" fillId="0" borderId="0" applyFont="0" applyFill="0" applyBorder="0" applyAlignment="0" applyProtection="0"/>
  </cellStyleXfs>
  <cellXfs count="659">
    <xf numFmtId="0" fontId="0" fillId="0" borderId="0" xfId="0"/>
    <xf numFmtId="0" fontId="0" fillId="0" borderId="2" xfId="0" applyBorder="1"/>
    <xf numFmtId="0" fontId="0" fillId="0" borderId="1" xfId="0" applyBorder="1"/>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14" fillId="0" borderId="0" xfId="0" applyFont="1" applyAlignment="1">
      <alignment horizontal="center" vertical="center"/>
    </xf>
    <xf numFmtId="0" fontId="0" fillId="0" borderId="4" xfId="0" applyBorder="1" applyAlignment="1">
      <alignment vertical="center" wrapText="1"/>
    </xf>
    <xf numFmtId="0" fontId="0" fillId="0" borderId="4" xfId="0" applyBorder="1" applyAlignment="1">
      <alignment vertical="center"/>
    </xf>
    <xf numFmtId="0" fontId="0" fillId="0" borderId="4" xfId="0" applyBorder="1"/>
    <xf numFmtId="0" fontId="12" fillId="0" borderId="0" xfId="0" applyFont="1"/>
    <xf numFmtId="0" fontId="23" fillId="0" borderId="0" xfId="0" applyFont="1"/>
    <xf numFmtId="0" fontId="0" fillId="0" borderId="0" xfId="0" applyAlignment="1">
      <alignment horizontal="center"/>
    </xf>
    <xf numFmtId="0" fontId="0" fillId="0" borderId="0" xfId="0" applyAlignment="1">
      <alignment horizontal="left" vertical="center"/>
    </xf>
    <xf numFmtId="0" fontId="0" fillId="0" borderId="2" xfId="0" applyBorder="1" applyAlignment="1">
      <alignment vertical="center"/>
    </xf>
    <xf numFmtId="0" fontId="0" fillId="0" borderId="0" xfId="0" applyAlignment="1">
      <alignment horizontal="right"/>
    </xf>
    <xf numFmtId="0" fontId="0" fillId="0" borderId="1" xfId="0" applyBorder="1" applyAlignment="1">
      <alignment horizontal="center" vertical="center"/>
    </xf>
    <xf numFmtId="0" fontId="2" fillId="0" borderId="0" xfId="0" applyFont="1" applyAlignment="1">
      <alignment vertical="center"/>
    </xf>
    <xf numFmtId="0" fontId="10"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xf>
    <xf numFmtId="0" fontId="1" fillId="0" borderId="0" xfId="0" applyFont="1"/>
    <xf numFmtId="0" fontId="18" fillId="0" borderId="0" xfId="0" applyFont="1" applyAlignment="1">
      <alignment vertical="center"/>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center" vertical="center"/>
    </xf>
    <xf numFmtId="0" fontId="16" fillId="0" borderId="0" xfId="0" applyFont="1"/>
    <xf numFmtId="0" fontId="26" fillId="0" borderId="1" xfId="0" applyFont="1" applyBorder="1" applyAlignment="1">
      <alignment horizontal="center"/>
    </xf>
    <xf numFmtId="0" fontId="7" fillId="0" borderId="0" xfId="0" applyFont="1"/>
    <xf numFmtId="0" fontId="26" fillId="0" borderId="0" xfId="0" applyFont="1"/>
    <xf numFmtId="0" fontId="26" fillId="0" borderId="0" xfId="0" applyFont="1" applyAlignment="1">
      <alignment vertical="center"/>
    </xf>
    <xf numFmtId="0" fontId="26" fillId="0" borderId="0" xfId="0" applyFont="1" applyAlignment="1">
      <alignment vertical="top"/>
    </xf>
    <xf numFmtId="0" fontId="26" fillId="0" borderId="0" xfId="0" applyFont="1" applyAlignment="1">
      <alignment horizontal="center"/>
    </xf>
    <xf numFmtId="0" fontId="26" fillId="0" borderId="1" xfId="0" applyFont="1" applyBorder="1"/>
    <xf numFmtId="0" fontId="40" fillId="0" borderId="0" xfId="0" applyFont="1" applyAlignment="1">
      <alignment vertical="center"/>
    </xf>
    <xf numFmtId="0" fontId="21" fillId="0" borderId="0" xfId="0" applyFont="1" applyAlignment="1">
      <alignment horizontal="center"/>
    </xf>
    <xf numFmtId="0" fontId="33" fillId="0" borderId="0" xfId="0" applyFont="1" applyAlignment="1">
      <alignment horizontal="center"/>
    </xf>
    <xf numFmtId="0" fontId="33" fillId="0" borderId="0" xfId="0" applyFont="1" applyAlignment="1">
      <alignment vertical="center"/>
    </xf>
    <xf numFmtId="0" fontId="33" fillId="0" borderId="4" xfId="0" applyFont="1" applyBorder="1" applyAlignment="1">
      <alignment vertical="center"/>
    </xf>
    <xf numFmtId="0" fontId="41" fillId="0" borderId="0" xfId="0" applyFont="1" applyAlignment="1">
      <alignment vertical="center"/>
    </xf>
    <xf numFmtId="0" fontId="1" fillId="0" borderId="0" xfId="0" applyFont="1" applyAlignment="1">
      <alignment horizontal="center" vertical="center"/>
    </xf>
    <xf numFmtId="0" fontId="22" fillId="0" borderId="0" xfId="0" applyFont="1" applyAlignment="1">
      <alignment horizontal="center" vertical="center"/>
    </xf>
    <xf numFmtId="0" fontId="32" fillId="0" borderId="0" xfId="0" applyFont="1"/>
    <xf numFmtId="0" fontId="31" fillId="0" borderId="0" xfId="7" applyFont="1" applyAlignment="1">
      <alignment vertical="center"/>
    </xf>
    <xf numFmtId="0" fontId="59" fillId="0" borderId="0" xfId="7" applyFont="1" applyAlignment="1">
      <alignment vertical="center"/>
    </xf>
    <xf numFmtId="0" fontId="7" fillId="0" borderId="0" xfId="0" applyFont="1" applyAlignment="1">
      <alignment vertical="center" wrapText="1"/>
    </xf>
    <xf numFmtId="0" fontId="26" fillId="0" borderId="0" xfId="0" applyFont="1" applyAlignment="1">
      <alignment vertical="top" wrapText="1"/>
    </xf>
    <xf numFmtId="0" fontId="37" fillId="0" borderId="0" xfId="0" applyFont="1" applyAlignment="1">
      <alignment vertical="top" wrapText="1"/>
    </xf>
    <xf numFmtId="0" fontId="34" fillId="0" borderId="0" xfId="0" applyFont="1" applyAlignment="1">
      <alignment vertical="top" wrapText="1"/>
    </xf>
    <xf numFmtId="0" fontId="26" fillId="0" borderId="0" xfId="0" applyFont="1" applyAlignment="1">
      <alignment vertical="center" wrapText="1"/>
    </xf>
    <xf numFmtId="0" fontId="26" fillId="0" borderId="0" xfId="0" applyFont="1" applyAlignment="1">
      <alignment horizontal="left"/>
    </xf>
    <xf numFmtId="0" fontId="39" fillId="0" borderId="0" xfId="0" applyFont="1" applyAlignment="1">
      <alignment wrapText="1"/>
    </xf>
    <xf numFmtId="0" fontId="61" fillId="0" borderId="0" xfId="0" applyFont="1"/>
    <xf numFmtId="49" fontId="0" fillId="0" borderId="0" xfId="0" applyNumberFormat="1"/>
    <xf numFmtId="0" fontId="2" fillId="0" borderId="0" xfId="0" applyFont="1"/>
    <xf numFmtId="0" fontId="4" fillId="0" borderId="0" xfId="0" applyFont="1" applyAlignment="1">
      <alignment vertical="center"/>
    </xf>
    <xf numFmtId="0" fontId="24" fillId="0" borderId="32" xfId="0" applyFont="1" applyBorder="1" applyAlignment="1">
      <alignment horizontal="center" vertical="center"/>
    </xf>
    <xf numFmtId="0" fontId="24" fillId="0" borderId="32" xfId="0" applyFont="1" applyBorder="1" applyAlignment="1">
      <alignment vertical="center"/>
    </xf>
    <xf numFmtId="0" fontId="32" fillId="0" borderId="0" xfId="0" applyFont="1" applyAlignment="1">
      <alignment vertical="center"/>
    </xf>
    <xf numFmtId="0" fontId="32" fillId="0" borderId="0" xfId="0" applyFont="1" applyAlignment="1">
      <alignment horizontal="center" vertical="center"/>
    </xf>
    <xf numFmtId="0" fontId="34" fillId="0" borderId="0" xfId="0" applyFont="1"/>
    <xf numFmtId="0" fontId="33" fillId="0" borderId="0" xfId="1" applyFont="1" applyFill="1" applyBorder="1" applyAlignment="1"/>
    <xf numFmtId="0" fontId="19" fillId="0" borderId="0" xfId="0" applyFont="1" applyAlignment="1">
      <alignment vertical="center"/>
    </xf>
    <xf numFmtId="20" fontId="0" fillId="0" borderId="0" xfId="0" applyNumberFormat="1"/>
    <xf numFmtId="0" fontId="63" fillId="0" borderId="0" xfId="0" applyFont="1"/>
    <xf numFmtId="0" fontId="63" fillId="0" borderId="0" xfId="0" applyFont="1" applyAlignment="1">
      <alignment horizontal="center" vertical="center"/>
    </xf>
    <xf numFmtId="0" fontId="26" fillId="0" borderId="0" xfId="0" applyFont="1" applyAlignment="1">
      <alignment horizontal="left" vertical="center"/>
    </xf>
    <xf numFmtId="20" fontId="26" fillId="0" borderId="0" xfId="0" applyNumberFormat="1" applyFont="1" applyAlignment="1">
      <alignment horizontal="center" vertical="center"/>
    </xf>
    <xf numFmtId="49" fontId="26" fillId="0" borderId="0" xfId="0" applyNumberFormat="1" applyFont="1"/>
    <xf numFmtId="0" fontId="42" fillId="0" borderId="0" xfId="0" applyFont="1" applyAlignment="1">
      <alignment vertical="center"/>
    </xf>
    <xf numFmtId="0" fontId="32" fillId="0" borderId="0" xfId="0" applyFont="1" applyAlignment="1">
      <alignment vertical="top"/>
    </xf>
    <xf numFmtId="0" fontId="32" fillId="0" borderId="0" xfId="0" applyFont="1" applyAlignment="1">
      <alignment horizontal="center"/>
    </xf>
    <xf numFmtId="0" fontId="32" fillId="0" borderId="0" xfId="0" applyFont="1" applyAlignment="1">
      <alignment horizontal="left"/>
    </xf>
    <xf numFmtId="0" fontId="53" fillId="0" borderId="0" xfId="0" applyFont="1" applyAlignment="1">
      <alignment horizontal="center" vertical="center"/>
    </xf>
    <xf numFmtId="166" fontId="53" fillId="0" borderId="0" xfId="0" applyNumberFormat="1" applyFont="1" applyAlignment="1">
      <alignment horizontal="center" vertical="center"/>
    </xf>
    <xf numFmtId="0" fontId="36" fillId="0" borderId="0" xfId="0" applyFont="1" applyAlignment="1">
      <alignment vertical="center" wrapText="1"/>
    </xf>
    <xf numFmtId="0" fontId="67" fillId="0" borderId="0" xfId="0" applyFont="1" applyAlignment="1">
      <alignment vertical="center" wrapText="1"/>
    </xf>
    <xf numFmtId="166" fontId="26" fillId="0" borderId="0" xfId="0" applyNumberFormat="1" applyFont="1"/>
    <xf numFmtId="0" fontId="53" fillId="0" borderId="0" xfId="0" applyFont="1" applyAlignment="1">
      <alignment vertical="center"/>
    </xf>
    <xf numFmtId="166" fontId="53" fillId="0" borderId="0" xfId="0" applyNumberFormat="1" applyFont="1" applyAlignment="1">
      <alignment vertical="center"/>
    </xf>
    <xf numFmtId="0" fontId="21" fillId="0" borderId="0" xfId="0" applyFont="1" applyAlignment="1">
      <alignment vertical="top"/>
    </xf>
    <xf numFmtId="0" fontId="63" fillId="0" borderId="0" xfId="0" applyFont="1" applyAlignment="1">
      <alignment horizontal="center"/>
    </xf>
    <xf numFmtId="0" fontId="4" fillId="0" borderId="1" xfId="0" applyFont="1" applyBorder="1" applyAlignment="1">
      <alignment horizontal="center" vertical="center"/>
    </xf>
    <xf numFmtId="0" fontId="24" fillId="0" borderId="1" xfId="0" applyFont="1" applyBorder="1" applyAlignment="1">
      <alignment horizontal="center" vertical="center"/>
    </xf>
    <xf numFmtId="0" fontId="4" fillId="0" borderId="1" xfId="0" applyFont="1" applyBorder="1" applyAlignment="1">
      <alignment vertical="center"/>
    </xf>
    <xf numFmtId="0" fontId="4" fillId="0" borderId="8" xfId="0" applyFont="1" applyBorder="1" applyAlignment="1">
      <alignment vertical="center"/>
    </xf>
    <xf numFmtId="0" fontId="13" fillId="0" borderId="32" xfId="0" applyFont="1" applyBorder="1" applyAlignment="1">
      <alignment vertical="center"/>
    </xf>
    <xf numFmtId="0" fontId="16" fillId="0" borderId="8" xfId="0" applyFont="1" applyBorder="1" applyAlignment="1">
      <alignment horizontal="center" vertical="center"/>
    </xf>
    <xf numFmtId="0" fontId="16" fillId="0" borderId="1" xfId="0" applyFont="1" applyBorder="1" applyAlignment="1">
      <alignment vertical="center"/>
    </xf>
    <xf numFmtId="0" fontId="32" fillId="0" borderId="0" xfId="0" applyFont="1" applyAlignment="1">
      <alignment horizontal="left" vertical="center" wrapText="1"/>
    </xf>
    <xf numFmtId="0" fontId="63" fillId="0" borderId="0" xfId="0" applyFont="1" applyAlignment="1">
      <alignment vertical="center"/>
    </xf>
    <xf numFmtId="0" fontId="26" fillId="0" borderId="37" xfId="0" applyFont="1" applyBorder="1"/>
    <xf numFmtId="0" fontId="26" fillId="0" borderId="25" xfId="0" applyFont="1" applyBorder="1"/>
    <xf numFmtId="0" fontId="26" fillId="0" borderId="27" xfId="0" applyFont="1" applyBorder="1"/>
    <xf numFmtId="0" fontId="14" fillId="0" borderId="0" xfId="0" applyFont="1" applyAlignment="1">
      <alignment vertical="center" wrapText="1"/>
    </xf>
    <xf numFmtId="0" fontId="19" fillId="0" borderId="0" xfId="0" applyFont="1" applyAlignment="1">
      <alignment horizontal="center" vertical="center"/>
    </xf>
    <xf numFmtId="166" fontId="0" fillId="0" borderId="0" xfId="0" applyNumberFormat="1" applyAlignment="1">
      <alignment horizontal="center"/>
    </xf>
    <xf numFmtId="0" fontId="14" fillId="0" borderId="0" xfId="0" applyFont="1"/>
    <xf numFmtId="2" fontId="0" fillId="0" borderId="0" xfId="0" applyNumberFormat="1"/>
    <xf numFmtId="0" fontId="0" fillId="0" borderId="0" xfId="0" applyAlignment="1">
      <alignment horizontal="left"/>
    </xf>
    <xf numFmtId="167" fontId="42" fillId="0" borderId="0" xfId="0" applyNumberFormat="1" applyFont="1" applyAlignment="1">
      <alignment horizontal="center" vertical="center"/>
    </xf>
    <xf numFmtId="0" fontId="7" fillId="0" borderId="0" xfId="0" applyFont="1" applyAlignment="1">
      <alignment vertical="top" wrapText="1"/>
    </xf>
    <xf numFmtId="0" fontId="13" fillId="0" borderId="0" xfId="0" applyFont="1" applyAlignment="1">
      <alignment vertical="center"/>
    </xf>
    <xf numFmtId="0" fontId="70" fillId="0" borderId="0" xfId="0" applyFont="1" applyAlignment="1">
      <alignment vertical="top" wrapText="1"/>
    </xf>
    <xf numFmtId="0" fontId="71" fillId="0" borderId="0" xfId="0" applyFont="1" applyAlignment="1">
      <alignment vertical="center"/>
    </xf>
    <xf numFmtId="0" fontId="26" fillId="0" borderId="37" xfId="0" applyFont="1" applyBorder="1" applyAlignment="1">
      <alignment horizontal="center"/>
    </xf>
    <xf numFmtId="0" fontId="42" fillId="0" borderId="0" xfId="0" applyFont="1" applyAlignment="1">
      <alignment horizontal="left" vertical="center"/>
    </xf>
    <xf numFmtId="0" fontId="41" fillId="0" borderId="9" xfId="0" applyFont="1" applyBorder="1" applyAlignment="1">
      <alignment horizontal="center" vertical="center"/>
    </xf>
    <xf numFmtId="0" fontId="26" fillId="0" borderId="40" xfId="0" applyFont="1" applyBorder="1" applyAlignment="1">
      <alignment horizontal="center"/>
    </xf>
    <xf numFmtId="0" fontId="26" fillId="0" borderId="35" xfId="0" applyFont="1" applyBorder="1" applyAlignment="1">
      <alignment horizontal="center"/>
    </xf>
    <xf numFmtId="0" fontId="26" fillId="0" borderId="25" xfId="0" applyFont="1" applyBorder="1" applyAlignment="1">
      <alignment horizontal="center"/>
    </xf>
    <xf numFmtId="0" fontId="26" fillId="0" borderId="27" xfId="0" applyFont="1" applyBorder="1" applyAlignment="1">
      <alignment horizontal="center"/>
    </xf>
    <xf numFmtId="0" fontId="16" fillId="0" borderId="0" xfId="0" applyFont="1" applyAlignment="1">
      <alignment vertical="center"/>
    </xf>
    <xf numFmtId="0" fontId="13" fillId="0" borderId="0" xfId="0" applyFont="1" applyAlignment="1">
      <alignment horizontal="center" vertical="center"/>
    </xf>
    <xf numFmtId="0" fontId="74" fillId="0" borderId="0" xfId="0" applyFont="1" applyAlignment="1">
      <alignment vertical="top"/>
    </xf>
    <xf numFmtId="166" fontId="26" fillId="0" borderId="0" xfId="0" applyNumberFormat="1" applyFont="1" applyAlignment="1">
      <alignment horizontal="center"/>
    </xf>
    <xf numFmtId="166" fontId="26" fillId="0" borderId="25" xfId="0" applyNumberFormat="1" applyFont="1" applyBorder="1" applyAlignment="1">
      <alignment horizontal="center"/>
    </xf>
    <xf numFmtId="0" fontId="57" fillId="0" borderId="0" xfId="0" applyFont="1" applyAlignment="1">
      <alignment horizontal="center"/>
    </xf>
    <xf numFmtId="0" fontId="41" fillId="0" borderId="9" xfId="0" applyFont="1" applyBorder="1" applyAlignment="1">
      <alignment vertical="center"/>
    </xf>
    <xf numFmtId="0" fontId="32" fillId="0" borderId="0" xfId="0" applyFont="1" applyAlignment="1">
      <alignment horizontal="center" vertical="center" wrapText="1"/>
    </xf>
    <xf numFmtId="0" fontId="41" fillId="0" borderId="0" xfId="0" applyFont="1" applyAlignment="1">
      <alignment horizontal="center" vertical="center"/>
    </xf>
    <xf numFmtId="0" fontId="41" fillId="0" borderId="9" xfId="0" applyFont="1" applyBorder="1" applyAlignment="1">
      <alignment horizontal="left" vertical="center"/>
    </xf>
    <xf numFmtId="0" fontId="76" fillId="0" borderId="9" xfId="0" applyFont="1" applyBorder="1" applyAlignment="1">
      <alignment vertical="center"/>
    </xf>
    <xf numFmtId="0" fontId="26" fillId="0" borderId="25" xfId="0" applyFont="1" applyBorder="1" applyAlignment="1">
      <alignment horizontal="center" vertical="center"/>
    </xf>
    <xf numFmtId="0" fontId="26" fillId="0" borderId="1" xfId="0" applyFont="1" applyBorder="1" applyAlignment="1">
      <alignment horizontal="center" vertical="center"/>
    </xf>
    <xf numFmtId="0" fontId="26" fillId="0" borderId="8" xfId="0" applyFont="1" applyBorder="1" applyAlignment="1">
      <alignment horizontal="center" vertical="center"/>
    </xf>
    <xf numFmtId="2" fontId="26" fillId="0" borderId="0" xfId="0" applyNumberFormat="1" applyFont="1" applyAlignment="1">
      <alignment horizontal="center" vertical="center"/>
    </xf>
    <xf numFmtId="0" fontId="26" fillId="0" borderId="0" xfId="0" applyFont="1" applyAlignment="1">
      <alignment horizontal="center" vertical="center" wrapText="1"/>
    </xf>
    <xf numFmtId="0" fontId="16" fillId="0" borderId="0" xfId="0" applyFont="1" applyAlignment="1">
      <alignment horizontal="center" vertical="center" wrapText="1"/>
    </xf>
    <xf numFmtId="0" fontId="0" fillId="0" borderId="25" xfId="0" applyBorder="1" applyAlignment="1">
      <alignment horizontal="center" vertical="center"/>
    </xf>
    <xf numFmtId="0" fontId="42" fillId="0" borderId="0" xfId="0" applyFont="1" applyAlignment="1">
      <alignment horizontal="center"/>
    </xf>
    <xf numFmtId="0" fontId="26" fillId="0" borderId="22" xfId="0" applyFont="1" applyBorder="1" applyAlignment="1">
      <alignment horizontal="center" vertical="center"/>
    </xf>
    <xf numFmtId="0" fontId="26" fillId="0" borderId="44" xfId="0" applyFont="1" applyBorder="1" applyAlignment="1">
      <alignment horizontal="center" vertical="center"/>
    </xf>
    <xf numFmtId="0" fontId="26" fillId="0" borderId="25" xfId="0" applyFont="1" applyBorder="1" applyAlignment="1">
      <alignment vertical="center"/>
    </xf>
    <xf numFmtId="0" fontId="26" fillId="0" borderId="0" xfId="0" applyFont="1" applyAlignment="1">
      <alignment horizontal="center" vertical="top"/>
    </xf>
    <xf numFmtId="0" fontId="3" fillId="0" borderId="0" xfId="0" applyFont="1"/>
    <xf numFmtId="0" fontId="3" fillId="0" borderId="0" xfId="0" applyFont="1" applyAlignment="1">
      <alignment horizontal="center"/>
    </xf>
    <xf numFmtId="0" fontId="33" fillId="0" borderId="0" xfId="0" applyFont="1"/>
    <xf numFmtId="0" fontId="26" fillId="0" borderId="0" xfId="0" applyFont="1" applyAlignment="1">
      <alignment horizontal="right" vertical="center"/>
    </xf>
    <xf numFmtId="0" fontId="16" fillId="0" borderId="1" xfId="0" applyFont="1" applyBorder="1" applyAlignment="1">
      <alignment horizontal="center" vertical="center"/>
    </xf>
    <xf numFmtId="0" fontId="16" fillId="0" borderId="33" xfId="0" applyFont="1" applyBorder="1" applyAlignment="1">
      <alignment horizontal="center" vertical="center"/>
    </xf>
    <xf numFmtId="49" fontId="26" fillId="0" borderId="22" xfId="0" applyNumberFormat="1" applyFont="1" applyBorder="1" applyAlignment="1">
      <alignment horizontal="center" vertical="center"/>
    </xf>
    <xf numFmtId="166" fontId="0" fillId="0" borderId="1" xfId="0" applyNumberFormat="1" applyBorder="1"/>
    <xf numFmtId="166" fontId="0" fillId="9" borderId="1" xfId="0" applyNumberFormat="1" applyFill="1" applyBorder="1"/>
    <xf numFmtId="166" fontId="0" fillId="11" borderId="1" xfId="0" applyNumberFormat="1" applyFill="1" applyBorder="1" applyAlignment="1">
      <alignment horizontal="center"/>
    </xf>
    <xf numFmtId="0" fontId="26" fillId="11" borderId="0" xfId="0" applyFont="1" applyFill="1" applyAlignment="1">
      <alignment horizontal="center" vertical="center"/>
    </xf>
    <xf numFmtId="0" fontId="0" fillId="11" borderId="0" xfId="0" applyFill="1" applyAlignment="1">
      <alignment horizontal="center" vertical="center"/>
    </xf>
    <xf numFmtId="0" fontId="14" fillId="11" borderId="0" xfId="0" applyFont="1" applyFill="1" applyAlignment="1">
      <alignment vertical="center"/>
    </xf>
    <xf numFmtId="0" fontId="0" fillId="0" borderId="1" xfId="0" applyBorder="1" applyAlignment="1">
      <alignment horizontal="center"/>
    </xf>
    <xf numFmtId="0" fontId="0" fillId="0" borderId="8" xfId="0" applyBorder="1" applyAlignment="1">
      <alignment horizontal="center"/>
    </xf>
    <xf numFmtId="2" fontId="26" fillId="11" borderId="0" xfId="0" applyNumberFormat="1" applyFont="1" applyFill="1" applyAlignment="1">
      <alignment horizontal="center" vertical="center" wrapText="1"/>
    </xf>
    <xf numFmtId="166" fontId="26" fillId="11" borderId="0" xfId="0" applyNumberFormat="1" applyFont="1" applyFill="1" applyAlignment="1">
      <alignment horizontal="center" vertical="center" wrapText="1"/>
    </xf>
    <xf numFmtId="166" fontId="26" fillId="11" borderId="0" xfId="0" applyNumberFormat="1" applyFont="1" applyFill="1" applyAlignment="1">
      <alignment vertical="top" wrapText="1"/>
    </xf>
    <xf numFmtId="0" fontId="49" fillId="0" borderId="0" xfId="0" applyFont="1"/>
    <xf numFmtId="0" fontId="0" fillId="0" borderId="0" xfId="0" applyAlignment="1">
      <alignment wrapText="1"/>
    </xf>
    <xf numFmtId="0" fontId="26" fillId="0" borderId="0" xfId="0" applyFont="1" applyAlignment="1">
      <alignment wrapText="1"/>
    </xf>
    <xf numFmtId="0" fontId="87" fillId="0" borderId="0" xfId="0" applyFont="1" applyAlignment="1">
      <alignment wrapText="1"/>
    </xf>
    <xf numFmtId="0" fontId="33" fillId="0" borderId="2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26" fillId="0" borderId="34" xfId="0" applyFont="1" applyBorder="1" applyAlignment="1">
      <alignment horizontal="right" vertical="center"/>
    </xf>
    <xf numFmtId="0" fontId="26" fillId="0" borderId="4" xfId="0" applyFont="1" applyBorder="1" applyAlignment="1">
      <alignment horizontal="right" vertical="center"/>
    </xf>
    <xf numFmtId="0" fontId="26" fillId="0" borderId="5" xfId="0" applyFont="1" applyBorder="1" applyAlignment="1">
      <alignment horizontal="right" vertical="center"/>
    </xf>
    <xf numFmtId="0" fontId="26" fillId="0" borderId="8" xfId="0" applyFont="1" applyBorder="1" applyAlignment="1">
      <alignment horizontal="center" vertical="center"/>
    </xf>
    <xf numFmtId="0" fontId="26" fillId="0" borderId="10" xfId="0" applyFont="1" applyBorder="1" applyAlignment="1">
      <alignment horizontal="center" vertical="center"/>
    </xf>
    <xf numFmtId="0" fontId="26" fillId="0" borderId="3" xfId="0" applyFont="1" applyBorder="1" applyAlignment="1">
      <alignment horizontal="center" vertical="center"/>
    </xf>
    <xf numFmtId="0" fontId="26" fillId="0" borderId="24" xfId="0" applyFont="1" applyBorder="1" applyAlignment="1">
      <alignment horizontal="center" vertical="center"/>
    </xf>
    <xf numFmtId="0" fontId="26" fillId="0" borderId="4" xfId="0" applyFont="1" applyBorder="1" applyAlignment="1">
      <alignment horizontal="center" vertical="center"/>
    </xf>
    <xf numFmtId="0" fontId="26" fillId="0" borderId="25" xfId="0" applyFont="1" applyBorder="1" applyAlignment="1">
      <alignment horizontal="center" vertical="center"/>
    </xf>
    <xf numFmtId="0" fontId="42" fillId="0" borderId="1" xfId="0" applyFont="1" applyBorder="1" applyAlignment="1">
      <alignment horizontal="center"/>
    </xf>
    <xf numFmtId="0" fontId="26" fillId="0" borderId="1" xfId="0" applyFont="1" applyBorder="1" applyAlignment="1">
      <alignment horizontal="center"/>
    </xf>
    <xf numFmtId="3" fontId="42" fillId="0" borderId="1" xfId="0" applyNumberFormat="1" applyFont="1" applyBorder="1" applyAlignment="1">
      <alignment horizontal="center"/>
    </xf>
    <xf numFmtId="0" fontId="26" fillId="0" borderId="9" xfId="0" applyFont="1" applyBorder="1" applyAlignment="1">
      <alignment horizontal="center" vertic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10"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26" fillId="0" borderId="10" xfId="0" applyFont="1" applyBorder="1" applyAlignment="1">
      <alignment horizontal="center"/>
    </xf>
    <xf numFmtId="0" fontId="26" fillId="0" borderId="1" xfId="0" applyFont="1" applyBorder="1" applyAlignment="1">
      <alignment horizontal="center" vertical="center"/>
    </xf>
    <xf numFmtId="1" fontId="42" fillId="0" borderId="1" xfId="0" applyNumberFormat="1" applyFont="1" applyBorder="1" applyAlignment="1">
      <alignment horizontal="center"/>
    </xf>
    <xf numFmtId="0" fontId="26" fillId="0" borderId="28" xfId="0" applyFont="1" applyBorder="1" applyAlignment="1">
      <alignment horizontal="right" vertical="center"/>
    </xf>
    <xf numFmtId="0" fontId="26" fillId="0" borderId="25" xfId="0" applyFont="1" applyBorder="1" applyAlignment="1">
      <alignment horizontal="right" vertical="center"/>
    </xf>
    <xf numFmtId="0" fontId="26" fillId="0" borderId="27" xfId="0" applyFont="1" applyBorder="1" applyAlignment="1">
      <alignment horizontal="right"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6" fillId="0" borderId="22" xfId="0" applyFont="1" applyBorder="1" applyAlignment="1">
      <alignment horizontal="center" vertical="center"/>
    </xf>
    <xf numFmtId="0" fontId="40" fillId="0" borderId="1" xfId="0" applyFont="1" applyBorder="1" applyAlignment="1">
      <alignment horizontal="center" vertical="center"/>
    </xf>
    <xf numFmtId="0" fontId="0" fillId="0" borderId="34" xfId="0" applyBorder="1" applyAlignment="1">
      <alignment horizontal="left" vertical="top" wrapText="1"/>
    </xf>
    <xf numFmtId="0" fontId="0" fillId="0" borderId="4" xfId="0" applyBorder="1" applyAlignment="1">
      <alignment horizontal="left" vertical="top"/>
    </xf>
    <xf numFmtId="0" fontId="0" fillId="0" borderId="28" xfId="0" applyBorder="1" applyAlignment="1">
      <alignment horizontal="left" vertical="top"/>
    </xf>
    <xf numFmtId="0" fontId="0" fillId="0" borderId="40" xfId="0" applyBorder="1" applyAlignment="1">
      <alignment horizontal="left" vertical="top"/>
    </xf>
    <xf numFmtId="0" fontId="0" fillId="0" borderId="0" xfId="0" applyAlignment="1">
      <alignment horizontal="left" vertical="top"/>
    </xf>
    <xf numFmtId="0" fontId="0" fillId="0" borderId="37" xfId="0" applyBorder="1" applyAlignment="1">
      <alignment horizontal="left" vertical="top"/>
    </xf>
    <xf numFmtId="0" fontId="0" fillId="0" borderId="35" xfId="0" applyBorder="1" applyAlignment="1">
      <alignment horizontal="left" vertical="top"/>
    </xf>
    <xf numFmtId="0" fontId="0" fillId="0" borderId="25" xfId="0" applyBorder="1" applyAlignment="1">
      <alignment horizontal="left" vertical="top"/>
    </xf>
    <xf numFmtId="0" fontId="0" fillId="0" borderId="27" xfId="0" applyBorder="1" applyAlignment="1">
      <alignment horizontal="left" vertical="top"/>
    </xf>
    <xf numFmtId="0" fontId="0" fillId="0" borderId="50" xfId="0" applyBorder="1" applyAlignment="1">
      <alignment horizontal="center" vertical="center"/>
    </xf>
    <xf numFmtId="0" fontId="0" fillId="0" borderId="13" xfId="0" applyBorder="1" applyAlignment="1">
      <alignment horizontal="center" vertical="center"/>
    </xf>
    <xf numFmtId="0" fontId="7" fillId="0" borderId="13" xfId="0" applyFont="1" applyBorder="1" applyAlignment="1">
      <alignment horizontal="center" vertical="center"/>
    </xf>
    <xf numFmtId="0" fontId="7" fillId="0" borderId="31" xfId="0" applyFont="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0" fillId="0" borderId="20" xfId="0" applyBorder="1" applyAlignment="1">
      <alignment horizontal="left" vertical="center"/>
    </xf>
    <xf numFmtId="0" fontId="3" fillId="0" borderId="19" xfId="0" applyFont="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0" fillId="0" borderId="20" xfId="0" applyBorder="1" applyAlignment="1">
      <alignment horizontal="center" vertical="center"/>
    </xf>
    <xf numFmtId="0" fontId="3" fillId="0" borderId="20" xfId="0" applyFont="1" applyBorder="1" applyAlignment="1">
      <alignment horizontal="center" vertical="center"/>
    </xf>
    <xf numFmtId="0" fontId="0" fillId="0" borderId="19" xfId="0" applyBorder="1" applyAlignment="1">
      <alignment horizontal="center"/>
    </xf>
    <xf numFmtId="0" fontId="0" fillId="0" borderId="1" xfId="0" applyBorder="1" applyAlignment="1">
      <alignment horizontal="center"/>
    </xf>
    <xf numFmtId="0" fontId="16" fillId="0" borderId="1" xfId="0" applyFont="1" applyBorder="1" applyAlignment="1">
      <alignment horizontal="center"/>
    </xf>
    <xf numFmtId="0" fontId="62" fillId="0" borderId="34"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28" xfId="0" applyFont="1" applyBorder="1" applyAlignment="1">
      <alignment horizontal="center" vertical="center" wrapText="1"/>
    </xf>
    <xf numFmtId="0" fontId="62" fillId="0" borderId="40" xfId="0" applyFont="1" applyBorder="1" applyAlignment="1">
      <alignment horizontal="center" vertical="center" wrapText="1"/>
    </xf>
    <xf numFmtId="0" fontId="62" fillId="0" borderId="0" xfId="0" applyFont="1" applyAlignment="1">
      <alignment horizontal="center" vertical="center" wrapText="1"/>
    </xf>
    <xf numFmtId="0" fontId="62" fillId="0" borderId="37"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38"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26" fillId="0" borderId="17" xfId="0" applyFont="1" applyBorder="1" applyAlignment="1">
      <alignment horizontal="center"/>
    </xf>
    <xf numFmtId="0" fontId="26" fillId="0" borderId="18" xfId="0" applyFont="1" applyBorder="1" applyAlignment="1">
      <alignment horizontal="center"/>
    </xf>
    <xf numFmtId="0" fontId="26" fillId="0" borderId="20" xfId="0" applyFon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6" fillId="0" borderId="6"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42" fillId="0" borderId="1" xfId="0" applyFont="1" applyBorder="1" applyAlignment="1">
      <alignment horizontal="center" vertical="center" wrapText="1"/>
    </xf>
    <xf numFmtId="0" fontId="44" fillId="3" borderId="3" xfId="2" applyFont="1" applyBorder="1" applyAlignment="1">
      <alignment horizontal="center" vertical="center"/>
    </xf>
    <xf numFmtId="0" fontId="44" fillId="3" borderId="4" xfId="2" applyFont="1" applyBorder="1" applyAlignment="1">
      <alignment horizontal="center" vertical="center"/>
    </xf>
    <xf numFmtId="0" fontId="44" fillId="3" borderId="5" xfId="2" applyFont="1" applyBorder="1" applyAlignment="1">
      <alignment horizontal="center" vertical="center"/>
    </xf>
    <xf numFmtId="0" fontId="44" fillId="3" borderId="6" xfId="2" applyFont="1" applyBorder="1" applyAlignment="1">
      <alignment horizontal="center" vertical="center"/>
    </xf>
    <xf numFmtId="0" fontId="44" fillId="3" borderId="2" xfId="2" applyFont="1" applyBorder="1" applyAlignment="1">
      <alignment horizontal="center" vertical="center"/>
    </xf>
    <xf numFmtId="0" fontId="44" fillId="3" borderId="7" xfId="2" applyFont="1" applyBorder="1" applyAlignment="1">
      <alignment horizontal="center" vertical="center"/>
    </xf>
    <xf numFmtId="0" fontId="34" fillId="0" borderId="39"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4" xfId="0" applyBorder="1" applyAlignment="1">
      <alignment horizontal="center" vertical="center"/>
    </xf>
    <xf numFmtId="0" fontId="0" fillId="0" borderId="25" xfId="0"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42" fillId="8" borderId="1" xfId="0" applyFont="1" applyFill="1" applyBorder="1" applyAlignment="1">
      <alignment horizontal="center"/>
    </xf>
    <xf numFmtId="0" fontId="41" fillId="0" borderId="0" xfId="0" applyFont="1" applyAlignment="1">
      <alignment horizontal="left" vertical="center"/>
    </xf>
    <xf numFmtId="0" fontId="40" fillId="0" borderId="0" xfId="0" applyFont="1" applyAlignment="1">
      <alignment horizontal="center" vertical="center"/>
    </xf>
    <xf numFmtId="0" fontId="16" fillId="0" borderId="0" xfId="0" applyFont="1" applyAlignment="1">
      <alignment horizontal="center" vertical="center"/>
    </xf>
    <xf numFmtId="0" fontId="32" fillId="0" borderId="0" xfId="0" applyFont="1" applyAlignment="1">
      <alignment horizontal="left" vertical="center" wrapText="1"/>
    </xf>
    <xf numFmtId="0" fontId="21" fillId="0" borderId="0" xfId="0" applyFont="1" applyAlignment="1">
      <alignment horizontal="center"/>
    </xf>
    <xf numFmtId="0" fontId="0" fillId="0" borderId="0" xfId="0" applyAlignment="1">
      <alignment horizontal="center" vertical="center"/>
    </xf>
    <xf numFmtId="0" fontId="32" fillId="0" borderId="0" xfId="0" applyFont="1" applyAlignment="1">
      <alignment horizontal="left" vertical="center"/>
    </xf>
    <xf numFmtId="0" fontId="1" fillId="0" borderId="0" xfId="0" applyFont="1" applyAlignment="1">
      <alignment horizontal="center"/>
    </xf>
    <xf numFmtId="49" fontId="78" fillId="0" borderId="16" xfId="8" applyNumberFormat="1" applyFont="1" applyBorder="1" applyAlignment="1">
      <alignment horizontal="center" vertical="center" wrapText="1"/>
    </xf>
    <xf numFmtId="49" fontId="78" fillId="0" borderId="17" xfId="8" applyNumberFormat="1" applyFont="1" applyBorder="1" applyAlignment="1">
      <alignment horizontal="center" vertical="center" wrapText="1"/>
    </xf>
    <xf numFmtId="49" fontId="78" fillId="0" borderId="18" xfId="8" applyNumberFormat="1" applyFont="1" applyBorder="1" applyAlignment="1">
      <alignment horizontal="center" vertical="center" wrapText="1"/>
    </xf>
    <xf numFmtId="49" fontId="78" fillId="0" borderId="19" xfId="8" applyNumberFormat="1" applyFont="1" applyBorder="1" applyAlignment="1">
      <alignment horizontal="center" vertical="center" wrapText="1"/>
    </xf>
    <xf numFmtId="49" fontId="78" fillId="0" borderId="1" xfId="8" applyNumberFormat="1" applyFont="1" applyBorder="1" applyAlignment="1">
      <alignment horizontal="center" vertical="center" wrapText="1"/>
    </xf>
    <xf numFmtId="49" fontId="78" fillId="0" borderId="20" xfId="8" applyNumberFormat="1" applyFont="1" applyBorder="1" applyAlignment="1">
      <alignment horizontal="center" vertical="center" wrapText="1"/>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 xfId="0" applyFont="1" applyBorder="1" applyAlignment="1">
      <alignment horizontal="center" vertical="center"/>
    </xf>
    <xf numFmtId="0" fontId="26" fillId="0" borderId="7" xfId="0" applyFont="1" applyBorder="1" applyAlignment="1">
      <alignment horizontal="center" vertic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40" fillId="0" borderId="0" xfId="0" applyFont="1" applyAlignment="1">
      <alignment horizontal="left" vertical="center"/>
    </xf>
    <xf numFmtId="0" fontId="44" fillId="3" borderId="1" xfId="2" applyFont="1" applyBorder="1" applyAlignment="1">
      <alignment horizontal="center" vertical="center"/>
    </xf>
    <xf numFmtId="0" fontId="42" fillId="0" borderId="1"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6" xfId="0" applyFont="1" applyBorder="1" applyAlignment="1">
      <alignment horizontal="center" vertical="center"/>
    </xf>
    <xf numFmtId="0" fontId="42" fillId="0" borderId="2" xfId="0" applyFont="1" applyBorder="1" applyAlignment="1">
      <alignment horizontal="center" vertical="center"/>
    </xf>
    <xf numFmtId="0" fontId="42" fillId="0" borderId="7" xfId="0" applyFont="1" applyBorder="1" applyAlignment="1">
      <alignment horizontal="center" vertical="center"/>
    </xf>
    <xf numFmtId="0" fontId="38" fillId="2" borderId="1" xfId="1"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42" fillId="0" borderId="6" xfId="0" applyFont="1" applyBorder="1" applyAlignment="1">
      <alignment horizontal="center"/>
    </xf>
    <xf numFmtId="0" fontId="42" fillId="0" borderId="2" xfId="0" applyFont="1" applyBorder="1" applyAlignment="1">
      <alignment horizontal="center"/>
    </xf>
    <xf numFmtId="0" fontId="42" fillId="0" borderId="7" xfId="0" applyFont="1" applyBorder="1" applyAlignment="1">
      <alignment horizontal="center"/>
    </xf>
    <xf numFmtId="0" fontId="33" fillId="0" borderId="0" xfId="0" applyFont="1" applyAlignment="1">
      <alignment horizontal="left" vertical="center"/>
    </xf>
    <xf numFmtId="0" fontId="38" fillId="2" borderId="8" xfId="1" applyFont="1" applyBorder="1" applyAlignment="1">
      <alignment horizontal="center"/>
    </xf>
    <xf numFmtId="0" fontId="38" fillId="2" borderId="9" xfId="1" applyFont="1" applyBorder="1" applyAlignment="1">
      <alignment horizontal="center"/>
    </xf>
    <xf numFmtId="0" fontId="38" fillId="2" borderId="10" xfId="1" applyFont="1" applyBorder="1" applyAlignment="1">
      <alignment horizontal="center"/>
    </xf>
    <xf numFmtId="0" fontId="42" fillId="11" borderId="3" xfId="0" applyFont="1" applyFill="1" applyBorder="1" applyAlignment="1">
      <alignment horizontal="center" vertical="center"/>
    </xf>
    <xf numFmtId="0" fontId="42" fillId="11" borderId="4" xfId="0" applyFont="1" applyFill="1" applyBorder="1" applyAlignment="1">
      <alignment horizontal="center" vertical="center"/>
    </xf>
    <xf numFmtId="0" fontId="42" fillId="11" borderId="5" xfId="0" applyFont="1" applyFill="1" applyBorder="1" applyAlignment="1">
      <alignment horizontal="center" vertical="center"/>
    </xf>
    <xf numFmtId="0" fontId="42" fillId="11" borderId="6" xfId="0" applyFont="1" applyFill="1" applyBorder="1" applyAlignment="1">
      <alignment horizontal="center" vertical="center"/>
    </xf>
    <xf numFmtId="0" fontId="42" fillId="11" borderId="2" xfId="0" applyFont="1" applyFill="1" applyBorder="1" applyAlignment="1">
      <alignment horizontal="center" vertical="center"/>
    </xf>
    <xf numFmtId="0" fontId="42" fillId="11" borderId="7" xfId="0" applyFont="1" applyFill="1" applyBorder="1" applyAlignment="1">
      <alignment horizontal="center" vertical="center"/>
    </xf>
    <xf numFmtId="0" fontId="26" fillId="0" borderId="16" xfId="0" applyFont="1" applyBorder="1" applyAlignment="1">
      <alignment horizontal="center"/>
    </xf>
    <xf numFmtId="0" fontId="26" fillId="0" borderId="21" xfId="0" applyFont="1" applyBorder="1" applyAlignment="1">
      <alignment horizontal="center"/>
    </xf>
    <xf numFmtId="0" fontId="26" fillId="0" borderId="22" xfId="0" applyFont="1" applyBorder="1" applyAlignment="1">
      <alignment horizontal="center"/>
    </xf>
    <xf numFmtId="0" fontId="42" fillId="0" borderId="22" xfId="0" applyFont="1" applyBorder="1" applyAlignment="1">
      <alignment horizontal="center"/>
    </xf>
    <xf numFmtId="0" fontId="42" fillId="0" borderId="23" xfId="0" applyFont="1" applyBorder="1" applyAlignment="1">
      <alignment horizontal="center"/>
    </xf>
    <xf numFmtId="0" fontId="34" fillId="0" borderId="48" xfId="0" applyFont="1" applyBorder="1" applyAlignment="1">
      <alignment horizontal="left" vertical="center"/>
    </xf>
    <xf numFmtId="0" fontId="34" fillId="0" borderId="14" xfId="0" applyFont="1" applyBorder="1" applyAlignment="1">
      <alignment horizontal="left" vertical="center"/>
    </xf>
    <xf numFmtId="0" fontId="37" fillId="0" borderId="19" xfId="0" applyFont="1" applyBorder="1" applyAlignment="1">
      <alignment horizontal="left"/>
    </xf>
    <xf numFmtId="0" fontId="37" fillId="0" borderId="1" xfId="0" applyFont="1" applyBorder="1" applyAlignment="1">
      <alignment horizontal="left"/>
    </xf>
    <xf numFmtId="0" fontId="42" fillId="0" borderId="14" xfId="0" applyFont="1" applyBorder="1" applyAlignment="1">
      <alignment horizontal="center" vertical="center"/>
    </xf>
    <xf numFmtId="0" fontId="42" fillId="0" borderId="49" xfId="0" applyFont="1" applyBorder="1" applyAlignment="1">
      <alignment horizontal="center" vertical="center"/>
    </xf>
    <xf numFmtId="0" fontId="35" fillId="4" borderId="1" xfId="3" applyFont="1" applyBorder="1" applyAlignment="1">
      <alignment horizontal="center" vertical="center" wrapText="1"/>
    </xf>
    <xf numFmtId="1" fontId="0" fillId="9" borderId="1" xfId="0" applyNumberFormat="1" applyFill="1" applyBorder="1" applyAlignment="1">
      <alignment horizontal="center"/>
    </xf>
    <xf numFmtId="0" fontId="38" fillId="4" borderId="3" xfId="3" applyFont="1" applyBorder="1" applyAlignment="1">
      <alignment horizontal="center" vertical="center" wrapText="1"/>
    </xf>
    <xf numFmtId="0" fontId="38" fillId="4" borderId="4" xfId="3" applyFont="1" applyBorder="1" applyAlignment="1">
      <alignment horizontal="center" vertical="center" wrapText="1"/>
    </xf>
    <xf numFmtId="0" fontId="38" fillId="4" borderId="6" xfId="3" applyFont="1" applyBorder="1" applyAlignment="1">
      <alignment horizontal="center" vertical="center" wrapText="1"/>
    </xf>
    <xf numFmtId="0" fontId="38" fillId="4" borderId="2" xfId="3" applyFont="1" applyBorder="1" applyAlignment="1">
      <alignment horizontal="center" vertical="center" wrapText="1"/>
    </xf>
    <xf numFmtId="166" fontId="0" fillId="0" borderId="8" xfId="0" applyNumberFormat="1" applyBorder="1" applyAlignment="1">
      <alignment horizontal="center"/>
    </xf>
    <xf numFmtId="166" fontId="0" fillId="0" borderId="9" xfId="0" applyNumberFormat="1" applyBorder="1" applyAlignment="1">
      <alignment horizontal="center"/>
    </xf>
    <xf numFmtId="0" fontId="39" fillId="0" borderId="1" xfId="0" applyFont="1" applyBorder="1" applyAlignment="1">
      <alignment horizontal="center"/>
    </xf>
    <xf numFmtId="166" fontId="42" fillId="0" borderId="8" xfId="0" applyNumberFormat="1" applyFont="1" applyBorder="1" applyAlignment="1">
      <alignment horizontal="center"/>
    </xf>
    <xf numFmtId="166" fontId="42" fillId="0" borderId="9" xfId="0" applyNumberFormat="1" applyFont="1" applyBorder="1" applyAlignment="1">
      <alignment horizontal="center"/>
    </xf>
    <xf numFmtId="166" fontId="42" fillId="0" borderId="10" xfId="0" applyNumberFormat="1" applyFont="1" applyBorder="1" applyAlignment="1">
      <alignment horizontal="center"/>
    </xf>
    <xf numFmtId="0" fontId="34" fillId="13" borderId="1" xfId="0" applyFont="1" applyFill="1" applyBorder="1" applyAlignment="1">
      <alignment horizontal="center" vertical="center"/>
    </xf>
    <xf numFmtId="0" fontId="26" fillId="13" borderId="1" xfId="0" applyFont="1" applyFill="1" applyBorder="1" applyAlignment="1">
      <alignment horizontal="center" wrapText="1"/>
    </xf>
    <xf numFmtId="0" fontId="26" fillId="4" borderId="1" xfId="3" applyFont="1" applyBorder="1" applyAlignment="1">
      <alignment horizontal="center" vertical="center"/>
    </xf>
    <xf numFmtId="0" fontId="26" fillId="0" borderId="0" xfId="0" applyFont="1" applyAlignment="1">
      <alignment horizontal="left" vertical="top" wrapText="1"/>
    </xf>
    <xf numFmtId="0" fontId="26" fillId="0" borderId="0" xfId="0" applyFont="1" applyAlignment="1">
      <alignment horizontal="center" vertical="top" wrapText="1"/>
    </xf>
    <xf numFmtId="0" fontId="61" fillId="0" borderId="0" xfId="0" applyFont="1" applyAlignment="1">
      <alignment horizontal="center"/>
    </xf>
    <xf numFmtId="0" fontId="46" fillId="0" borderId="0" xfId="0" applyFont="1" applyAlignment="1">
      <alignment horizontal="left" vertical="top"/>
    </xf>
    <xf numFmtId="166" fontId="0" fillId="0" borderId="1" xfId="0" applyNumberFormat="1" applyBorder="1" applyAlignment="1">
      <alignment horizontal="center"/>
    </xf>
    <xf numFmtId="0" fontId="0" fillId="0" borderId="0" xfId="0" applyAlignment="1">
      <alignment horizontal="center"/>
    </xf>
    <xf numFmtId="0" fontId="38" fillId="4" borderId="5" xfId="3" applyFont="1" applyBorder="1" applyAlignment="1">
      <alignment horizontal="center" vertical="center" wrapText="1"/>
    </xf>
    <xf numFmtId="0" fontId="38" fillId="4" borderId="7" xfId="3" applyFont="1" applyBorder="1" applyAlignment="1">
      <alignment horizontal="center" vertical="center" wrapText="1"/>
    </xf>
    <xf numFmtId="0" fontId="0" fillId="0" borderId="8" xfId="0" applyBorder="1" applyAlignment="1">
      <alignment horizontal="center"/>
    </xf>
    <xf numFmtId="0" fontId="0" fillId="0" borderId="10" xfId="0" applyBorder="1" applyAlignment="1">
      <alignment horizontal="center"/>
    </xf>
    <xf numFmtId="0" fontId="26" fillId="0" borderId="0" xfId="0" applyFont="1" applyAlignment="1">
      <alignment horizontal="left" vertical="top"/>
    </xf>
    <xf numFmtId="0" fontId="33" fillId="4" borderId="1" xfId="3" applyFont="1" applyBorder="1" applyAlignment="1">
      <alignment horizontal="center" vertical="center"/>
    </xf>
    <xf numFmtId="0" fontId="38" fillId="4" borderId="1" xfId="3" applyFont="1" applyBorder="1" applyAlignment="1">
      <alignment horizontal="center" vertical="center" wrapText="1"/>
    </xf>
    <xf numFmtId="0" fontId="26" fillId="0" borderId="0" xfId="0" applyFont="1" applyAlignment="1">
      <alignment horizontal="center" wrapText="1"/>
    </xf>
    <xf numFmtId="0" fontId="61" fillId="0" borderId="1" xfId="0" applyFont="1" applyBorder="1" applyAlignment="1">
      <alignment horizontal="center"/>
    </xf>
    <xf numFmtId="166" fontId="0" fillId="0" borderId="10" xfId="0" applyNumberFormat="1" applyBorder="1" applyAlignment="1">
      <alignment horizontal="center"/>
    </xf>
    <xf numFmtId="166" fontId="0" fillId="11" borderId="0" xfId="0" applyNumberFormat="1" applyFill="1" applyAlignment="1">
      <alignment horizontal="center"/>
    </xf>
    <xf numFmtId="0" fontId="32" fillId="4" borderId="3" xfId="3" applyFont="1" applyBorder="1" applyAlignment="1">
      <alignment horizontal="center" vertical="center" wrapText="1"/>
    </xf>
    <xf numFmtId="0" fontId="32" fillId="4" borderId="5" xfId="3" applyFont="1" applyBorder="1" applyAlignment="1">
      <alignment horizontal="center" vertical="center" wrapText="1"/>
    </xf>
    <xf numFmtId="0" fontId="32" fillId="4" borderId="6" xfId="3" applyFont="1" applyBorder="1" applyAlignment="1">
      <alignment horizontal="center" vertical="center" wrapText="1"/>
    </xf>
    <xf numFmtId="0" fontId="32" fillId="4" borderId="7" xfId="3" applyFont="1" applyBorder="1" applyAlignment="1">
      <alignment horizontal="center" vertical="center" wrapText="1"/>
    </xf>
    <xf numFmtId="0" fontId="26" fillId="13" borderId="1" xfId="0" applyFont="1" applyFill="1" applyBorder="1" applyAlignment="1">
      <alignment horizontal="center"/>
    </xf>
    <xf numFmtId="0" fontId="37" fillId="13" borderId="1" xfId="0" applyFont="1" applyFill="1" applyBorder="1" applyAlignment="1">
      <alignment horizontal="center" vertical="center" wrapText="1"/>
    </xf>
    <xf numFmtId="0" fontId="0" fillId="11" borderId="0" xfId="0" applyFill="1" applyAlignment="1">
      <alignment horizontal="center" vertical="center"/>
    </xf>
    <xf numFmtId="166" fontId="0" fillId="11" borderId="0" xfId="0" applyNumberFormat="1" applyFill="1" applyAlignment="1">
      <alignment horizontal="center" vertical="center"/>
    </xf>
    <xf numFmtId="2" fontId="0" fillId="0" borderId="0" xfId="0" applyNumberFormat="1" applyAlignment="1">
      <alignment horizontal="center"/>
    </xf>
    <xf numFmtId="0" fontId="10" fillId="0" borderId="0" xfId="0" applyFont="1" applyAlignment="1">
      <alignment horizontal="left" vertical="center"/>
    </xf>
    <xf numFmtId="0" fontId="61" fillId="11" borderId="0" xfId="0" applyFont="1" applyFill="1" applyAlignment="1">
      <alignment horizontal="center" vertical="center"/>
    </xf>
    <xf numFmtId="0" fontId="72" fillId="11" borderId="0" xfId="0" applyFont="1" applyFill="1" applyAlignment="1">
      <alignment horizontal="center" vertical="center"/>
    </xf>
    <xf numFmtId="0" fontId="26" fillId="10" borderId="0" xfId="0" applyFont="1" applyFill="1" applyAlignment="1">
      <alignment horizontal="center"/>
    </xf>
    <xf numFmtId="0" fontId="26" fillId="0" borderId="0" xfId="0" applyFont="1" applyAlignment="1">
      <alignment horizontal="center" vertical="center"/>
    </xf>
    <xf numFmtId="0" fontId="26" fillId="0" borderId="0" xfId="0" applyFont="1" applyAlignment="1">
      <alignment horizontal="left" vertical="center"/>
    </xf>
    <xf numFmtId="2" fontId="26" fillId="0" borderId="0" xfId="0" applyNumberFormat="1" applyFont="1" applyAlignment="1">
      <alignment horizontal="center" vertical="center"/>
    </xf>
    <xf numFmtId="166" fontId="0" fillId="0" borderId="0" xfId="0" applyNumberFormat="1" applyAlignment="1">
      <alignment horizontal="center"/>
    </xf>
    <xf numFmtId="0" fontId="26" fillId="0" borderId="0" xfId="0" applyFont="1" applyAlignment="1">
      <alignment horizontal="center"/>
    </xf>
    <xf numFmtId="2" fontId="26" fillId="0" borderId="0" xfId="0" applyNumberFormat="1" applyFont="1" applyAlignment="1">
      <alignment horizontal="center"/>
    </xf>
    <xf numFmtId="0" fontId="45" fillId="0" borderId="0" xfId="0" applyFont="1" applyAlignment="1">
      <alignment horizontal="center" vertical="center"/>
    </xf>
    <xf numFmtId="0" fontId="16" fillId="0" borderId="0" xfId="0" applyFont="1" applyAlignment="1">
      <alignment horizontal="center" vertical="center" wrapText="1"/>
    </xf>
    <xf numFmtId="0" fontId="0" fillId="0" borderId="0" xfId="0" applyAlignment="1">
      <alignment horizontal="left" vertical="top" wrapText="1"/>
    </xf>
    <xf numFmtId="0" fontId="26" fillId="0" borderId="0" xfId="0" applyFont="1" applyAlignment="1">
      <alignment horizontal="left" vertical="center" wrapText="1"/>
    </xf>
    <xf numFmtId="49" fontId="26" fillId="0" borderId="0" xfId="0" applyNumberFormat="1" applyFont="1" applyAlignment="1">
      <alignment horizontal="left"/>
    </xf>
    <xf numFmtId="0" fontId="36" fillId="0" borderId="0" xfId="0" applyFont="1" applyAlignment="1">
      <alignment horizontal="left" vertical="center"/>
    </xf>
    <xf numFmtId="0" fontId="36" fillId="0" borderId="0" xfId="0" applyFont="1" applyAlignment="1">
      <alignment horizontal="left" vertical="center" wrapText="1"/>
    </xf>
    <xf numFmtId="0" fontId="26" fillId="0" borderId="0" xfId="0" applyFont="1" applyAlignment="1">
      <alignment horizontal="left"/>
    </xf>
    <xf numFmtId="0" fontId="26" fillId="11" borderId="0" xfId="0" applyFont="1" applyFill="1" applyAlignment="1">
      <alignment horizontal="center"/>
    </xf>
    <xf numFmtId="0" fontId="48" fillId="0" borderId="0" xfId="0" applyFont="1" applyAlignment="1">
      <alignment horizontal="left" vertical="center"/>
    </xf>
    <xf numFmtId="0" fontId="18" fillId="0" borderId="1" xfId="0" applyFont="1" applyBorder="1" applyAlignment="1">
      <alignment horizontal="center" vertical="center"/>
    </xf>
    <xf numFmtId="0" fontId="25" fillId="0" borderId="0" xfId="0" applyFont="1" applyAlignment="1">
      <alignment horizontal="center" vertical="center"/>
    </xf>
    <xf numFmtId="0" fontId="1" fillId="0" borderId="1" xfId="0" applyFont="1" applyBorder="1" applyAlignment="1">
      <alignment horizont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0" fillId="0" borderId="3" xfId="0" applyBorder="1" applyAlignment="1">
      <alignment horizontal="center" vertical="center" textRotation="90"/>
    </xf>
    <xf numFmtId="0" fontId="0" fillId="0" borderId="5" xfId="0" applyBorder="1" applyAlignment="1">
      <alignment horizontal="center" vertical="center" textRotation="90"/>
    </xf>
    <xf numFmtId="0" fontId="0" fillId="0" borderId="11" xfId="0" applyBorder="1" applyAlignment="1">
      <alignment horizontal="center" vertical="center" textRotation="90"/>
    </xf>
    <xf numFmtId="0" fontId="0" fillId="0" borderId="12"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textRotation="90"/>
    </xf>
    <xf numFmtId="0" fontId="16" fillId="0" borderId="1" xfId="0" applyFont="1" applyBorder="1" applyAlignment="1">
      <alignment horizontal="center" vertical="center"/>
    </xf>
    <xf numFmtId="0" fontId="18" fillId="0" borderId="0" xfId="0" applyFont="1" applyAlignment="1">
      <alignment horizontal="center" vertical="center"/>
    </xf>
    <xf numFmtId="0" fontId="17" fillId="5" borderId="1" xfId="4" applyFont="1" applyBorder="1" applyAlignment="1">
      <alignment horizontal="center" vertical="center"/>
    </xf>
    <xf numFmtId="0" fontId="6" fillId="0" borderId="1" xfId="0" applyFont="1" applyBorder="1" applyAlignment="1">
      <alignment horizontal="center" vertical="center"/>
    </xf>
    <xf numFmtId="0" fontId="1" fillId="0" borderId="1" xfId="0" applyFont="1" applyBorder="1" applyAlignment="1">
      <alignment horizontal="left"/>
    </xf>
    <xf numFmtId="0" fontId="2" fillId="0" borderId="0" xfId="0" applyFont="1" applyAlignment="1">
      <alignment horizontal="left" wrapText="1"/>
    </xf>
    <xf numFmtId="0" fontId="2" fillId="0" borderId="0" xfId="0" applyFont="1" applyAlignment="1">
      <alignment horizontal="left"/>
    </xf>
    <xf numFmtId="0" fontId="5" fillId="0" borderId="0" xfId="0" applyFont="1" applyAlignment="1">
      <alignment horizontal="center" vertical="center" wrapText="1"/>
    </xf>
    <xf numFmtId="0" fontId="18" fillId="0" borderId="0" xfId="0" applyFont="1" applyAlignment="1">
      <alignment horizontal="left" vertical="top"/>
    </xf>
    <xf numFmtId="0" fontId="15" fillId="0" borderId="0" xfId="0" applyFont="1" applyAlignment="1">
      <alignment horizontal="left" vertical="top"/>
    </xf>
    <xf numFmtId="0" fontId="0" fillId="0" borderId="19" xfId="0" applyBorder="1"/>
    <xf numFmtId="0" fontId="0" fillId="0" borderId="1" xfId="0" applyBorder="1"/>
    <xf numFmtId="0" fontId="0" fillId="0" borderId="1" xfId="0" applyBorder="1" applyAlignment="1">
      <alignment horizontal="left"/>
    </xf>
    <xf numFmtId="0" fontId="0" fillId="0" borderId="20" xfId="0" applyBorder="1" applyAlignment="1">
      <alignment horizontal="left"/>
    </xf>
    <xf numFmtId="0" fontId="15" fillId="0" borderId="0" xfId="0" applyFont="1" applyAlignment="1">
      <alignment horizontal="left" vertical="center"/>
    </xf>
    <xf numFmtId="0" fontId="0" fillId="0" borderId="21" xfId="0" applyBorder="1"/>
    <xf numFmtId="0" fontId="0" fillId="0" borderId="22" xfId="0" applyBorder="1"/>
    <xf numFmtId="0" fontId="0" fillId="0" borderId="22" xfId="0" applyBorder="1" applyAlignment="1">
      <alignment horizontal="left"/>
    </xf>
    <xf numFmtId="0" fontId="0" fillId="0" borderId="23" xfId="0" applyBorder="1" applyAlignment="1">
      <alignment horizontal="left"/>
    </xf>
    <xf numFmtId="0" fontId="0" fillId="0" borderId="17" xfId="0" applyBorder="1" applyAlignment="1">
      <alignment horizontal="center" vertical="top" wrapText="1"/>
    </xf>
    <xf numFmtId="0" fontId="0" fillId="0" borderId="17" xfId="0" applyBorder="1" applyAlignment="1">
      <alignment horizontal="center" vertical="top"/>
    </xf>
    <xf numFmtId="0" fontId="0" fillId="0" borderId="1" xfId="0" applyBorder="1" applyAlignment="1">
      <alignment horizontal="center" vertical="top"/>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2" fontId="0" fillId="0" borderId="1" xfId="0" applyNumberFormat="1" applyBorder="1" applyAlignment="1">
      <alignment horizontal="center"/>
    </xf>
    <xf numFmtId="0" fontId="70" fillId="0" borderId="1" xfId="0" applyFont="1" applyBorder="1" applyAlignment="1">
      <alignment horizontal="center"/>
    </xf>
    <xf numFmtId="1" fontId="0" fillId="0" borderId="0" xfId="0" applyNumberFormat="1" applyAlignment="1">
      <alignment horizontal="center"/>
    </xf>
    <xf numFmtId="0" fontId="60" fillId="0" borderId="0" xfId="0" applyFont="1" applyAlignment="1">
      <alignment horizontal="center" vertical="center"/>
    </xf>
    <xf numFmtId="0" fontId="26" fillId="0" borderId="0" xfId="0" applyFont="1" applyAlignment="1">
      <alignment horizontal="center" vertical="center" wrapText="1"/>
    </xf>
    <xf numFmtId="0" fontId="48" fillId="0" borderId="0" xfId="0" applyFont="1" applyAlignment="1">
      <alignment horizontal="left" vertical="top"/>
    </xf>
    <xf numFmtId="1" fontId="0" fillId="0" borderId="1" xfId="0" applyNumberFormat="1" applyBorder="1" applyAlignment="1">
      <alignment horizontal="center" vertical="center"/>
    </xf>
    <xf numFmtId="0" fontId="38" fillId="5" borderId="1" xfId="4" applyFont="1" applyBorder="1" applyAlignment="1">
      <alignment horizontal="center" vertical="center"/>
    </xf>
    <xf numFmtId="0" fontId="37" fillId="0" borderId="0" xfId="0" applyFont="1" applyAlignment="1">
      <alignment horizontal="left" wrapText="1"/>
    </xf>
    <xf numFmtId="0" fontId="37" fillId="0" borderId="0" xfId="0" applyFont="1" applyAlignment="1">
      <alignment horizontal="left"/>
    </xf>
    <xf numFmtId="0" fontId="0" fillId="0" borderId="0" xfId="0" applyAlignment="1">
      <alignment horizontal="center" wrapText="1"/>
    </xf>
    <xf numFmtId="0" fontId="26" fillId="0" borderId="0" xfId="0" applyFont="1" applyAlignment="1">
      <alignment vertical="center" wrapText="1"/>
    </xf>
    <xf numFmtId="0" fontId="26" fillId="0" borderId="0" xfId="0" applyFont="1" applyAlignment="1">
      <alignment vertical="center"/>
    </xf>
    <xf numFmtId="166" fontId="26" fillId="0" borderId="0" xfId="0" applyNumberFormat="1" applyFont="1" applyAlignment="1">
      <alignment horizontal="center" vertical="center" wrapText="1"/>
    </xf>
    <xf numFmtId="0" fontId="46" fillId="0" borderId="0" xfId="0" applyFont="1" applyAlignment="1">
      <alignment horizontal="left" vertical="center"/>
    </xf>
    <xf numFmtId="0" fontId="51" fillId="0" borderId="0" xfId="0" applyFont="1" applyAlignment="1">
      <alignment horizontal="left" vertical="top"/>
    </xf>
    <xf numFmtId="1" fontId="37" fillId="0" borderId="0" xfId="0" applyNumberFormat="1" applyFont="1" applyAlignment="1">
      <alignment horizontal="center" vertical="center" wrapText="1"/>
    </xf>
    <xf numFmtId="0" fontId="32" fillId="0" borderId="0" xfId="0" applyFont="1" applyAlignment="1">
      <alignment horizontal="center" vertical="center" wrapText="1"/>
    </xf>
    <xf numFmtId="166" fontId="26" fillId="11" borderId="0" xfId="0" applyNumberFormat="1" applyFont="1" applyFill="1" applyAlignment="1">
      <alignment horizontal="center" vertical="top" wrapText="1"/>
    </xf>
    <xf numFmtId="0" fontId="42" fillId="0" borderId="0" xfId="0" applyFont="1" applyAlignment="1">
      <alignment horizontal="center" vertical="center" wrapText="1"/>
    </xf>
    <xf numFmtId="0" fontId="32" fillId="0" borderId="0" xfId="0" applyFont="1" applyAlignment="1">
      <alignment horizontal="left" vertical="top" wrapText="1"/>
    </xf>
    <xf numFmtId="3" fontId="26" fillId="0" borderId="0" xfId="0" applyNumberFormat="1" applyFont="1" applyAlignment="1">
      <alignment horizontal="center" vertical="center"/>
    </xf>
    <xf numFmtId="0" fontId="37" fillId="0" borderId="0" xfId="0" applyFont="1" applyAlignment="1">
      <alignment horizontal="center" vertical="center"/>
    </xf>
    <xf numFmtId="0" fontId="2" fillId="0" borderId="0" xfId="0" applyFont="1" applyAlignment="1">
      <alignment horizontal="center" vertical="center"/>
    </xf>
    <xf numFmtId="3" fontId="26" fillId="0" borderId="0" xfId="0" applyNumberFormat="1" applyFont="1" applyAlignment="1">
      <alignment horizontal="center" vertical="center" wrapText="1"/>
    </xf>
    <xf numFmtId="1" fontId="26" fillId="0" borderId="0" xfId="0" applyNumberFormat="1" applyFont="1" applyAlignment="1">
      <alignment horizontal="center" vertical="center"/>
    </xf>
    <xf numFmtId="0" fontId="42" fillId="0" borderId="0" xfId="0" applyFont="1" applyAlignment="1">
      <alignment horizontal="center" vertical="top" wrapText="1"/>
    </xf>
    <xf numFmtId="0" fontId="37" fillId="0" borderId="0" xfId="0" applyFont="1" applyAlignment="1">
      <alignment horizontal="center" vertical="top" wrapText="1"/>
    </xf>
    <xf numFmtId="0" fontId="34" fillId="0" borderId="0" xfId="0" applyFont="1" applyAlignment="1">
      <alignment horizontal="center" vertical="top" wrapText="1"/>
    </xf>
    <xf numFmtId="2" fontId="42" fillId="0" borderId="0" xfId="0" applyNumberFormat="1" applyFont="1" applyAlignment="1">
      <alignment horizontal="center" vertical="center" wrapText="1"/>
    </xf>
    <xf numFmtId="0" fontId="49" fillId="0" borderId="0" xfId="0" applyFont="1" applyAlignment="1">
      <alignment horizontal="center" vertical="top" wrapText="1"/>
    </xf>
    <xf numFmtId="0" fontId="37" fillId="0" borderId="0" xfId="0" applyFont="1" applyAlignment="1">
      <alignment horizontal="left" vertical="top" wrapText="1"/>
    </xf>
    <xf numFmtId="0" fontId="50" fillId="0" borderId="0" xfId="0" applyFont="1" applyAlignment="1">
      <alignment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2" fillId="0" borderId="14" xfId="0" applyFont="1"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1" fillId="0" borderId="1" xfId="0" applyFont="1" applyBorder="1" applyAlignment="1">
      <alignment horizontal="center" vertical="center" wrapText="1"/>
    </xf>
    <xf numFmtId="0" fontId="20" fillId="0" borderId="0" xfId="0" applyFont="1" applyAlignment="1">
      <alignment horizontal="center" vertical="center"/>
    </xf>
    <xf numFmtId="0" fontId="0" fillId="0" borderId="0" xfId="0" applyAlignment="1">
      <alignment horizontal="center" vertical="top"/>
    </xf>
    <xf numFmtId="0" fontId="1"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15" xfId="0" applyBorder="1" applyAlignment="1">
      <alignment horizontal="center" vertical="center"/>
    </xf>
    <xf numFmtId="0" fontId="8" fillId="0" borderId="0" xfId="0" applyFont="1" applyAlignment="1">
      <alignment horizontal="center" vertical="center"/>
    </xf>
    <xf numFmtId="0" fontId="3" fillId="0" borderId="0" xfId="0" applyFont="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0" fillId="0" borderId="12" xfId="0" applyBorder="1" applyAlignment="1">
      <alignment horizontal="center" vertical="center"/>
    </xf>
    <xf numFmtId="0" fontId="18" fillId="0" borderId="0" xfId="0" applyFont="1" applyAlignment="1">
      <alignment horizontal="left" vertical="center"/>
    </xf>
    <xf numFmtId="0" fontId="0" fillId="0" borderId="0" xfId="0" applyAlignment="1">
      <alignment horizontal="left" wrapText="1"/>
    </xf>
    <xf numFmtId="0" fontId="0" fillId="0" borderId="0" xfId="0" applyAlignment="1">
      <alignment horizontal="left"/>
    </xf>
    <xf numFmtId="2" fontId="26" fillId="0" borderId="1" xfId="0" applyNumberFormat="1" applyFont="1" applyBorder="1" applyAlignment="1">
      <alignment horizontal="center" vertical="center"/>
    </xf>
    <xf numFmtId="166" fontId="26" fillId="0" borderId="1" xfId="0" applyNumberFormat="1" applyFont="1" applyBorder="1" applyAlignment="1">
      <alignment horizontal="center"/>
    </xf>
    <xf numFmtId="0" fontId="26" fillId="7" borderId="0" xfId="0" applyFont="1" applyFill="1" applyAlignment="1">
      <alignment horizontal="center"/>
    </xf>
    <xf numFmtId="0" fontId="26" fillId="7" borderId="0" xfId="0" applyFont="1" applyFill="1" applyAlignment="1">
      <alignment horizontal="center" vertical="center"/>
    </xf>
    <xf numFmtId="166" fontId="26" fillId="0" borderId="0" xfId="0" applyNumberFormat="1" applyFont="1" applyAlignment="1">
      <alignment horizontal="center" vertical="center"/>
    </xf>
    <xf numFmtId="168" fontId="26" fillId="0" borderId="0" xfId="0" applyNumberFormat="1" applyFont="1" applyAlignment="1">
      <alignment horizontal="center" vertical="center"/>
    </xf>
    <xf numFmtId="2" fontId="26" fillId="0" borderId="4" xfId="0" applyNumberFormat="1" applyFont="1" applyBorder="1" applyAlignment="1">
      <alignment horizontal="center" vertical="center"/>
    </xf>
    <xf numFmtId="0" fontId="1" fillId="0" borderId="0" xfId="0" applyFont="1" applyAlignment="1">
      <alignment horizontal="center" vertical="center" wrapText="1"/>
    </xf>
    <xf numFmtId="164" fontId="26" fillId="0" borderId="0" xfId="6" applyFont="1" applyFill="1" applyAlignment="1">
      <alignment horizontal="center" vertical="center"/>
    </xf>
    <xf numFmtId="0" fontId="26" fillId="0" borderId="12" xfId="0" applyFont="1" applyBorder="1" applyAlignment="1">
      <alignment horizontal="center" vertical="center"/>
    </xf>
    <xf numFmtId="167" fontId="26" fillId="0" borderId="1" xfId="0" applyNumberFormat="1" applyFont="1" applyBorder="1" applyAlignment="1">
      <alignment horizontal="center" vertical="center"/>
    </xf>
    <xf numFmtId="166" fontId="26" fillId="0" borderId="0" xfId="0" applyNumberFormat="1" applyFont="1" applyAlignment="1">
      <alignment horizontal="center"/>
    </xf>
    <xf numFmtId="0" fontId="57" fillId="7" borderId="0" xfId="0" applyFont="1" applyFill="1" applyAlignment="1">
      <alignment horizontal="center"/>
    </xf>
    <xf numFmtId="0" fontId="63" fillId="0" borderId="0" xfId="0" applyFont="1" applyAlignment="1">
      <alignment horizontal="center" vertical="center"/>
    </xf>
    <xf numFmtId="0" fontId="14" fillId="0" borderId="0" xfId="0" applyFont="1" applyAlignment="1">
      <alignment horizontal="center" vertical="center"/>
    </xf>
    <xf numFmtId="0" fontId="34" fillId="0" borderId="0" xfId="0" applyFont="1" applyAlignment="1">
      <alignment horizontal="left" vertical="center" wrapText="1"/>
    </xf>
    <xf numFmtId="167" fontId="42" fillId="0" borderId="0" xfId="0" applyNumberFormat="1" applyFont="1" applyAlignment="1">
      <alignment horizontal="center" vertical="center"/>
    </xf>
    <xf numFmtId="0" fontId="46" fillId="0" borderId="0" xfId="0" applyFont="1" applyAlignment="1">
      <alignment horizontal="center" vertical="center"/>
    </xf>
    <xf numFmtId="0" fontId="53" fillId="0" borderId="0" xfId="0" applyFont="1" applyAlignment="1">
      <alignment horizontal="center" vertical="center"/>
    </xf>
    <xf numFmtId="166" fontId="33" fillId="0" borderId="0" xfId="0" applyNumberFormat="1" applyFont="1" applyAlignment="1">
      <alignment horizontal="center" vertical="center"/>
    </xf>
    <xf numFmtId="0" fontId="33" fillId="0" borderId="0" xfId="0" applyFont="1" applyAlignment="1">
      <alignment horizontal="center" vertical="center"/>
    </xf>
    <xf numFmtId="0" fontId="37" fillId="0" borderId="0" xfId="0" applyFont="1" applyAlignment="1">
      <alignment horizontal="left" vertical="center"/>
    </xf>
    <xf numFmtId="0" fontId="49" fillId="0" borderId="11" xfId="0" applyFont="1" applyBorder="1" applyAlignment="1">
      <alignment horizontal="center" vertical="center"/>
    </xf>
    <xf numFmtId="0" fontId="49" fillId="0" borderId="6" xfId="0" applyFont="1" applyBorder="1" applyAlignment="1">
      <alignment horizontal="center" vertical="center"/>
    </xf>
    <xf numFmtId="0" fontId="26" fillId="6" borderId="1" xfId="5" applyFont="1" applyBorder="1" applyAlignment="1">
      <alignment horizontal="center" vertical="center"/>
    </xf>
    <xf numFmtId="0" fontId="26" fillId="0" borderId="8" xfId="0" applyFont="1" applyBorder="1" applyAlignment="1">
      <alignment horizontal="center" vertical="top"/>
    </xf>
    <xf numFmtId="0" fontId="26" fillId="0" borderId="9" xfId="0" applyFont="1" applyBorder="1" applyAlignment="1">
      <alignment horizontal="center" vertical="top"/>
    </xf>
    <xf numFmtId="0" fontId="26" fillId="0" borderId="10" xfId="0" applyFont="1" applyBorder="1" applyAlignment="1">
      <alignment horizontal="center" vertical="top"/>
    </xf>
    <xf numFmtId="166" fontId="26" fillId="0" borderId="4" xfId="0" applyNumberFormat="1" applyFont="1" applyBorder="1" applyAlignment="1">
      <alignment horizontal="center" vertical="center"/>
    </xf>
    <xf numFmtId="166" fontId="26" fillId="0" borderId="2" xfId="0" applyNumberFormat="1" applyFont="1" applyBorder="1" applyAlignment="1">
      <alignment horizontal="center" vertical="center"/>
    </xf>
    <xf numFmtId="0" fontId="32" fillId="0" borderId="4" xfId="0" applyFont="1" applyBorder="1" applyAlignment="1">
      <alignment horizontal="left" vertical="center"/>
    </xf>
    <xf numFmtId="2" fontId="26" fillId="0" borderId="1" xfId="0" applyNumberFormat="1" applyFont="1" applyBorder="1" applyAlignment="1">
      <alignment horizontal="center" vertical="top"/>
    </xf>
    <xf numFmtId="0" fontId="64" fillId="0" borderId="3" xfId="0" applyFont="1" applyBorder="1" applyAlignment="1">
      <alignment horizontal="center" vertical="center"/>
    </xf>
    <xf numFmtId="0" fontId="64" fillId="0" borderId="4" xfId="0" applyFont="1" applyBorder="1" applyAlignment="1">
      <alignment horizontal="center" vertical="center"/>
    </xf>
    <xf numFmtId="0" fontId="64" fillId="0" borderId="11" xfId="0" applyFont="1" applyBorder="1" applyAlignment="1">
      <alignment horizontal="center" vertical="center"/>
    </xf>
    <xf numFmtId="0" fontId="64" fillId="0" borderId="0" xfId="0" applyFont="1" applyAlignment="1">
      <alignment horizontal="center" vertical="center"/>
    </xf>
    <xf numFmtId="0" fontId="36" fillId="0" borderId="1" xfId="0" applyFont="1" applyBorder="1" applyAlignment="1">
      <alignment horizontal="left" wrapText="1"/>
    </xf>
    <xf numFmtId="0" fontId="36" fillId="0" borderId="1" xfId="0" applyFont="1" applyBorder="1" applyAlignment="1">
      <alignment horizontal="left"/>
    </xf>
    <xf numFmtId="0" fontId="26" fillId="0" borderId="1" xfId="0" applyFont="1" applyBorder="1" applyAlignment="1">
      <alignment horizontal="left"/>
    </xf>
    <xf numFmtId="166" fontId="42" fillId="0" borderId="1" xfId="0" applyNumberFormat="1" applyFont="1" applyBorder="1" applyAlignment="1">
      <alignment horizontal="center"/>
    </xf>
    <xf numFmtId="0" fontId="26" fillId="0" borderId="0" xfId="0" applyFont="1" applyAlignment="1">
      <alignment horizontal="left" wrapText="1"/>
    </xf>
    <xf numFmtId="0" fontId="26" fillId="0" borderId="45" xfId="0" applyFont="1" applyBorder="1" applyAlignment="1">
      <alignment horizontal="center"/>
    </xf>
    <xf numFmtId="0" fontId="26" fillId="0" borderId="46" xfId="0" applyFont="1" applyBorder="1" applyAlignment="1">
      <alignment horizontal="center"/>
    </xf>
    <xf numFmtId="0" fontId="26" fillId="0" borderId="47" xfId="0" applyFont="1" applyBorder="1" applyAlignment="1">
      <alignment horizontal="center"/>
    </xf>
    <xf numFmtId="0" fontId="21" fillId="0" borderId="0" xfId="0" applyFont="1" applyAlignment="1">
      <alignment horizontal="left" vertical="center"/>
    </xf>
    <xf numFmtId="0" fontId="42" fillId="0" borderId="0" xfId="0" applyFont="1" applyAlignment="1">
      <alignment horizontal="left" vertical="center"/>
    </xf>
    <xf numFmtId="164" fontId="26" fillId="0" borderId="0" xfId="6" applyFont="1" applyAlignment="1">
      <alignment horizontal="left" vertical="center"/>
    </xf>
    <xf numFmtId="0" fontId="49" fillId="0" borderId="0" xfId="0" applyFont="1" applyAlignment="1">
      <alignment horizontal="center" vertical="center"/>
    </xf>
    <xf numFmtId="1" fontId="26" fillId="0" borderId="14" xfId="0" applyNumberFormat="1" applyFont="1" applyBorder="1" applyAlignment="1">
      <alignment horizontal="center" vertical="center"/>
    </xf>
    <xf numFmtId="1" fontId="26" fillId="0" borderId="1" xfId="0" applyNumberFormat="1" applyFont="1" applyBorder="1" applyAlignment="1">
      <alignment horizontal="center" vertical="center"/>
    </xf>
    <xf numFmtId="167" fontId="42" fillId="0" borderId="1" xfId="0" applyNumberFormat="1" applyFont="1" applyBorder="1" applyAlignment="1">
      <alignment horizontal="center"/>
    </xf>
    <xf numFmtId="2" fontId="42" fillId="0" borderId="1" xfId="0" applyNumberFormat="1" applyFont="1" applyBorder="1" applyAlignment="1">
      <alignment horizontal="center"/>
    </xf>
    <xf numFmtId="0" fontId="52" fillId="0" borderId="1" xfId="0" applyFont="1" applyBorder="1" applyAlignment="1">
      <alignment horizontal="left"/>
    </xf>
    <xf numFmtId="0" fontId="32" fillId="0" borderId="0" xfId="0" applyFont="1" applyAlignment="1">
      <alignment horizontal="left"/>
    </xf>
    <xf numFmtId="0" fontId="42" fillId="0" borderId="0" xfId="0" applyFont="1" applyAlignment="1">
      <alignment horizontal="left"/>
    </xf>
    <xf numFmtId="1" fontId="26" fillId="0" borderId="4" xfId="0" applyNumberFormat="1" applyFont="1" applyBorder="1" applyAlignment="1">
      <alignment horizontal="center" vertical="center"/>
    </xf>
    <xf numFmtId="0" fontId="49" fillId="7" borderId="0" xfId="0" applyFont="1" applyFill="1" applyAlignment="1">
      <alignment horizontal="center" vertical="center"/>
    </xf>
    <xf numFmtId="2" fontId="53" fillId="0" borderId="0" xfId="0" applyNumberFormat="1" applyFont="1" applyAlignment="1">
      <alignment horizontal="center" vertical="center"/>
    </xf>
    <xf numFmtId="1" fontId="53" fillId="0" borderId="0" xfId="0" applyNumberFormat="1" applyFont="1" applyAlignment="1">
      <alignment horizontal="center" vertical="center"/>
    </xf>
    <xf numFmtId="0" fontId="63" fillId="0" borderId="0" xfId="0" applyFont="1" applyAlignment="1">
      <alignment horizontal="center"/>
    </xf>
    <xf numFmtId="0" fontId="33" fillId="0" borderId="0" xfId="0" applyFont="1" applyAlignment="1">
      <alignment horizontal="center"/>
    </xf>
    <xf numFmtId="0" fontId="53" fillId="12" borderId="0" xfId="0" applyFont="1" applyFill="1" applyAlignment="1">
      <alignment horizontal="center" vertical="center"/>
    </xf>
    <xf numFmtId="0" fontId="36" fillId="0" borderId="0" xfId="0" applyFont="1" applyAlignment="1">
      <alignment horizontal="center" vertical="center"/>
    </xf>
    <xf numFmtId="0" fontId="41" fillId="0" borderId="0" xfId="0" applyFont="1" applyAlignment="1">
      <alignment horizontal="center" vertical="center"/>
    </xf>
    <xf numFmtId="0" fontId="36" fillId="0" borderId="0" xfId="0" applyFont="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xf>
    <xf numFmtId="0" fontId="41" fillId="0" borderId="9" xfId="0" applyFont="1" applyBorder="1" applyAlignment="1">
      <alignment horizontal="center" vertical="center"/>
    </xf>
    <xf numFmtId="0" fontId="41" fillId="0" borderId="45" xfId="0" applyFont="1" applyBorder="1" applyAlignment="1">
      <alignment horizontal="center" vertical="center"/>
    </xf>
    <xf numFmtId="0" fontId="41" fillId="0" borderId="46" xfId="0" applyFont="1" applyBorder="1" applyAlignment="1">
      <alignment horizontal="center" vertical="center"/>
    </xf>
    <xf numFmtId="0" fontId="41" fillId="0" borderId="47" xfId="0" applyFont="1" applyBorder="1" applyAlignment="1">
      <alignment horizontal="center" vertical="center"/>
    </xf>
    <xf numFmtId="2" fontId="26" fillId="0" borderId="8" xfId="0" applyNumberFormat="1" applyFont="1" applyBorder="1" applyAlignment="1">
      <alignment horizontal="center"/>
    </xf>
    <xf numFmtId="2" fontId="26" fillId="0" borderId="10" xfId="0" applyNumberFormat="1" applyFont="1" applyBorder="1" applyAlignment="1">
      <alignment horizontal="center"/>
    </xf>
    <xf numFmtId="2" fontId="58" fillId="0" borderId="1" xfId="0" applyNumberFormat="1" applyFont="1" applyBorder="1" applyAlignment="1">
      <alignment horizontal="center" vertical="center" wrapText="1"/>
    </xf>
    <xf numFmtId="2" fontId="26" fillId="0" borderId="1" xfId="0" applyNumberFormat="1" applyFont="1" applyBorder="1" applyAlignment="1">
      <alignment horizontal="center"/>
    </xf>
    <xf numFmtId="0" fontId="34" fillId="0" borderId="1" xfId="0" applyFont="1" applyBorder="1" applyAlignment="1">
      <alignment horizontal="center"/>
    </xf>
    <xf numFmtId="0" fontId="33" fillId="6" borderId="1" xfId="5" applyFont="1" applyBorder="1" applyAlignment="1">
      <alignment horizontal="center" vertical="center"/>
    </xf>
    <xf numFmtId="0" fontId="39" fillId="6" borderId="1" xfId="5" applyFont="1" applyBorder="1" applyAlignment="1">
      <alignment horizontal="center" vertical="center" wrapText="1"/>
    </xf>
    <xf numFmtId="0" fontId="39" fillId="6" borderId="1" xfId="5" applyFont="1" applyBorder="1" applyAlignment="1">
      <alignment horizontal="center" vertical="center"/>
    </xf>
    <xf numFmtId="0" fontId="38" fillId="6" borderId="1" xfId="5" applyFont="1" applyBorder="1" applyAlignment="1">
      <alignment horizontal="center" vertical="center" wrapText="1"/>
    </xf>
    <xf numFmtId="0" fontId="38" fillId="6" borderId="1" xfId="5" applyFont="1" applyBorder="1" applyAlignment="1">
      <alignment horizontal="center" vertical="center"/>
    </xf>
    <xf numFmtId="0" fontId="33" fillId="6" borderId="1" xfId="5" applyFont="1" applyBorder="1" applyAlignment="1">
      <alignment horizontal="center" vertical="center" wrapText="1"/>
    </xf>
    <xf numFmtId="0" fontId="26" fillId="9" borderId="0" xfId="0" applyFont="1" applyFill="1" applyAlignment="1">
      <alignment horizontal="center"/>
    </xf>
    <xf numFmtId="0" fontId="0" fillId="0" borderId="9" xfId="0" applyBorder="1" applyAlignment="1">
      <alignment horizontal="center"/>
    </xf>
    <xf numFmtId="0" fontId="21" fillId="11" borderId="45" xfId="0" applyFont="1" applyFill="1" applyBorder="1" applyAlignment="1">
      <alignment horizontal="center"/>
    </xf>
    <xf numFmtId="0" fontId="21" fillId="11" borderId="46" xfId="0" applyFont="1" applyFill="1" applyBorder="1" applyAlignment="1">
      <alignment horizontal="center"/>
    </xf>
    <xf numFmtId="0" fontId="21" fillId="11" borderId="47" xfId="0" applyFont="1" applyFill="1" applyBorder="1" applyAlignment="1">
      <alignment horizontal="center"/>
    </xf>
    <xf numFmtId="0" fontId="1" fillId="0" borderId="14" xfId="0" applyFont="1" applyBorder="1" applyAlignment="1">
      <alignment horizontal="center"/>
    </xf>
    <xf numFmtId="0" fontId="0" fillId="0" borderId="1" xfId="0" applyBorder="1" applyAlignment="1">
      <alignment horizontal="center" wrapText="1"/>
    </xf>
    <xf numFmtId="0" fontId="7" fillId="0" borderId="9" xfId="0" applyFont="1" applyBorder="1" applyAlignment="1">
      <alignment horizontal="left"/>
    </xf>
    <xf numFmtId="0" fontId="7" fillId="0" borderId="10" xfId="0" applyFont="1" applyBorder="1" applyAlignment="1">
      <alignment horizontal="left"/>
    </xf>
    <xf numFmtId="1" fontId="0" fillId="0" borderId="1" xfId="0" applyNumberFormat="1"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24" xfId="0" applyBorder="1" applyAlignment="1">
      <alignment horizontal="center" vertical="center"/>
    </xf>
    <xf numFmtId="0" fontId="0" fillId="0" borderId="36" xfId="0" applyBorder="1" applyAlignment="1">
      <alignment horizontal="center" vertical="center"/>
    </xf>
    <xf numFmtId="168" fontId="0" fillId="0" borderId="1" xfId="0" applyNumberFormat="1" applyBorder="1" applyAlignment="1">
      <alignment horizontal="center"/>
    </xf>
    <xf numFmtId="0" fontId="0" fillId="0" borderId="14" xfId="0" applyBorder="1" applyAlignment="1">
      <alignment horizontal="center"/>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168" fontId="0" fillId="0" borderId="14" xfId="0" applyNumberFormat="1" applyBorder="1" applyAlignment="1">
      <alignment horizontal="center"/>
    </xf>
    <xf numFmtId="0" fontId="21" fillId="0" borderId="0" xfId="0" applyFont="1" applyAlignment="1">
      <alignment horizontal="center" vertical="center" readingOrder="1"/>
    </xf>
    <xf numFmtId="0" fontId="21" fillId="0" borderId="2" xfId="0" applyFont="1" applyBorder="1" applyAlignment="1">
      <alignment horizontal="center" vertical="center" readingOrder="1"/>
    </xf>
    <xf numFmtId="0" fontId="4" fillId="0" borderId="1" xfId="0" applyFont="1" applyBorder="1" applyAlignment="1">
      <alignment horizontal="center" vertical="center"/>
    </xf>
    <xf numFmtId="0" fontId="12" fillId="0" borderId="1"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6" xfId="0" applyFont="1" applyBorder="1" applyAlignment="1">
      <alignment horizontal="center" vertical="center"/>
    </xf>
    <xf numFmtId="0" fontId="18" fillId="0" borderId="2" xfId="0" applyFont="1" applyBorder="1" applyAlignment="1">
      <alignment horizontal="center" vertical="center"/>
    </xf>
    <xf numFmtId="0" fontId="18" fillId="0" borderId="7" xfId="0" applyFont="1" applyBorder="1" applyAlignment="1">
      <alignment horizontal="center" vertical="center"/>
    </xf>
    <xf numFmtId="0" fontId="27" fillId="0" borderId="1" xfId="0" applyFont="1" applyBorder="1" applyAlignment="1">
      <alignment horizontal="center" vertical="center"/>
    </xf>
    <xf numFmtId="0" fontId="15" fillId="0" borderId="1" xfId="0" applyFont="1" applyBorder="1" applyAlignment="1">
      <alignment horizontal="center" vertical="center"/>
    </xf>
    <xf numFmtId="0" fontId="28" fillId="0" borderId="1"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29" fillId="0" borderId="1" xfId="0" applyFont="1" applyBorder="1" applyAlignment="1">
      <alignment horizontal="center" vertical="center"/>
    </xf>
    <xf numFmtId="0" fontId="2" fillId="0" borderId="0" xfId="0" applyFont="1" applyAlignment="1">
      <alignment horizontal="left" vertical="center"/>
    </xf>
    <xf numFmtId="0" fontId="19" fillId="0" borderId="0" xfId="0" applyFont="1" applyAlignment="1">
      <alignment horizontal="center" vertical="center"/>
    </xf>
    <xf numFmtId="0" fontId="1" fillId="6" borderId="1" xfId="5" applyFont="1" applyBorder="1" applyAlignment="1">
      <alignment horizontal="center" vertical="center"/>
    </xf>
    <xf numFmtId="0" fontId="13" fillId="6" borderId="1" xfId="5" applyFont="1" applyBorder="1" applyAlignment="1">
      <alignment horizontal="center" vertical="center" wrapText="1"/>
    </xf>
    <xf numFmtId="0" fontId="13" fillId="6" borderId="1" xfId="5" applyFont="1" applyBorder="1" applyAlignment="1">
      <alignment horizontal="center" vertical="center"/>
    </xf>
    <xf numFmtId="0" fontId="1" fillId="6" borderId="1" xfId="5" applyFont="1" applyBorder="1" applyAlignment="1">
      <alignment horizontal="center" vertical="center" wrapText="1"/>
    </xf>
    <xf numFmtId="0" fontId="1" fillId="0" borderId="4" xfId="0" applyFont="1" applyBorder="1" applyAlignment="1">
      <alignment horizontal="center" vertical="center"/>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0" xfId="0" applyAlignment="1">
      <alignment horizontal="center" vertical="center" wrapText="1"/>
    </xf>
    <xf numFmtId="0" fontId="24" fillId="0" borderId="0" xfId="0" applyFont="1" applyAlignment="1">
      <alignment horizontal="left" vertical="center"/>
    </xf>
    <xf numFmtId="0" fontId="9" fillId="0" borderId="0" xfId="0" applyFont="1" applyAlignment="1">
      <alignment horizontal="left" vertical="center"/>
    </xf>
    <xf numFmtId="0" fontId="1" fillId="0" borderId="0" xfId="0" applyFont="1" applyAlignment="1">
      <alignment horizontal="left" vertical="center" wrapText="1"/>
    </xf>
    <xf numFmtId="0" fontId="10" fillId="0" borderId="0" xfId="0" applyFont="1" applyAlignment="1">
      <alignment horizontal="left" vertical="center" wrapText="1"/>
    </xf>
    <xf numFmtId="0" fontId="1" fillId="2" borderId="1" xfId="1" applyFont="1" applyBorder="1" applyAlignment="1">
      <alignment horizontal="center" vertical="center"/>
    </xf>
    <xf numFmtId="0" fontId="13" fillId="2" borderId="1" xfId="1" applyFont="1" applyBorder="1" applyAlignment="1">
      <alignment horizontal="center" vertical="center"/>
    </xf>
  </cellXfs>
  <cellStyles count="10">
    <cellStyle name="20% - Accent1" xfId="1" builtinId="30"/>
    <cellStyle name="20% - Accent3" xfId="2" builtinId="38"/>
    <cellStyle name="20% - Accent4" xfId="4" builtinId="42"/>
    <cellStyle name="20% - Accent5" xfId="3" builtinId="46"/>
    <cellStyle name="40% - Accent1" xfId="5" builtinId="31"/>
    <cellStyle name="Comma" xfId="6" builtinId="3"/>
    <cellStyle name="Comma 2" xfId="9" xr:uid="{00000000-0005-0000-0000-000006000000}"/>
    <cellStyle name="Normal" xfId="0" builtinId="0"/>
    <cellStyle name="Normal 2 2 2" xfId="8" xr:uid="{00000000-0005-0000-0000-000008000000}"/>
    <cellStyle name="Normal_SUMMARY" xfId="7" xr:uid="{00000000-0005-0000-0000-000009000000}"/>
  </cellStyles>
  <dxfs count="7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60.png"/><Relationship Id="rId18" Type="http://schemas.openxmlformats.org/officeDocument/2006/relationships/image" Target="../media/image65.png"/><Relationship Id="rId26" Type="http://schemas.openxmlformats.org/officeDocument/2006/relationships/image" Target="../media/image73.png"/><Relationship Id="rId3" Type="http://schemas.openxmlformats.org/officeDocument/2006/relationships/image" Target="../media/image40.png"/><Relationship Id="rId21" Type="http://schemas.openxmlformats.org/officeDocument/2006/relationships/image" Target="../media/image68.png"/><Relationship Id="rId34" Type="http://schemas.openxmlformats.org/officeDocument/2006/relationships/image" Target="../media/image4.jpeg"/><Relationship Id="rId7" Type="http://schemas.openxmlformats.org/officeDocument/2006/relationships/image" Target="../media/image56.png"/><Relationship Id="rId12" Type="http://schemas.openxmlformats.org/officeDocument/2006/relationships/image" Target="../media/image59.png"/><Relationship Id="rId17" Type="http://schemas.openxmlformats.org/officeDocument/2006/relationships/image" Target="../media/image64.png"/><Relationship Id="rId25" Type="http://schemas.openxmlformats.org/officeDocument/2006/relationships/image" Target="../media/image72.png"/><Relationship Id="rId33" Type="http://schemas.openxmlformats.org/officeDocument/2006/relationships/image" Target="../media/image2.png"/><Relationship Id="rId2" Type="http://schemas.openxmlformats.org/officeDocument/2006/relationships/image" Target="../media/image36.png"/><Relationship Id="rId16" Type="http://schemas.openxmlformats.org/officeDocument/2006/relationships/image" Target="../media/image63.png"/><Relationship Id="rId20" Type="http://schemas.openxmlformats.org/officeDocument/2006/relationships/image" Target="../media/image67.png"/><Relationship Id="rId29" Type="http://schemas.openxmlformats.org/officeDocument/2006/relationships/image" Target="../media/image76.png"/><Relationship Id="rId1" Type="http://schemas.openxmlformats.org/officeDocument/2006/relationships/image" Target="../media/image35.png"/><Relationship Id="rId6" Type="http://schemas.openxmlformats.org/officeDocument/2006/relationships/image" Target="../media/image55.png"/><Relationship Id="rId11" Type="http://schemas.openxmlformats.org/officeDocument/2006/relationships/image" Target="../media/image49.png"/><Relationship Id="rId24" Type="http://schemas.openxmlformats.org/officeDocument/2006/relationships/image" Target="../media/image71.png"/><Relationship Id="rId32" Type="http://schemas.openxmlformats.org/officeDocument/2006/relationships/image" Target="../media/image1.jpeg"/><Relationship Id="rId5" Type="http://schemas.openxmlformats.org/officeDocument/2006/relationships/image" Target="../media/image54.png"/><Relationship Id="rId15" Type="http://schemas.openxmlformats.org/officeDocument/2006/relationships/image" Target="../media/image62.emf"/><Relationship Id="rId23" Type="http://schemas.openxmlformats.org/officeDocument/2006/relationships/image" Target="../media/image70.png"/><Relationship Id="rId28" Type="http://schemas.openxmlformats.org/officeDocument/2006/relationships/image" Target="../media/image75.png"/><Relationship Id="rId10" Type="http://schemas.openxmlformats.org/officeDocument/2006/relationships/image" Target="../media/image48.emf"/><Relationship Id="rId19" Type="http://schemas.openxmlformats.org/officeDocument/2006/relationships/image" Target="../media/image66.png"/><Relationship Id="rId31" Type="http://schemas.openxmlformats.org/officeDocument/2006/relationships/image" Target="../media/image78.png"/><Relationship Id="rId4" Type="http://schemas.openxmlformats.org/officeDocument/2006/relationships/image" Target="../media/image41.png"/><Relationship Id="rId9" Type="http://schemas.openxmlformats.org/officeDocument/2006/relationships/image" Target="../media/image58.emf"/><Relationship Id="rId14" Type="http://schemas.openxmlformats.org/officeDocument/2006/relationships/image" Target="../media/image61.emf"/><Relationship Id="rId22" Type="http://schemas.openxmlformats.org/officeDocument/2006/relationships/image" Target="../media/image69.png"/><Relationship Id="rId27" Type="http://schemas.openxmlformats.org/officeDocument/2006/relationships/image" Target="../media/image74.png"/><Relationship Id="rId30" Type="http://schemas.openxmlformats.org/officeDocument/2006/relationships/image" Target="../media/image77.png"/><Relationship Id="rId8" Type="http://schemas.openxmlformats.org/officeDocument/2006/relationships/image" Target="../media/image57.emf"/></Relationships>
</file>

<file path=xl/drawings/_rels/drawing11.xml.rels><?xml version="1.0" encoding="UTF-8" standalone="yes"?>
<Relationships xmlns="http://schemas.openxmlformats.org/package/2006/relationships"><Relationship Id="rId8" Type="http://schemas.openxmlformats.org/officeDocument/2006/relationships/image" Target="../media/image86.png"/><Relationship Id="rId3" Type="http://schemas.openxmlformats.org/officeDocument/2006/relationships/image" Target="../media/image81.png"/><Relationship Id="rId7" Type="http://schemas.openxmlformats.org/officeDocument/2006/relationships/image" Target="../media/image85.emf"/><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emf"/><Relationship Id="rId11" Type="http://schemas.openxmlformats.org/officeDocument/2006/relationships/image" Target="../media/image4.jpeg"/><Relationship Id="rId5" Type="http://schemas.openxmlformats.org/officeDocument/2006/relationships/image" Target="../media/image83.emf"/><Relationship Id="rId10" Type="http://schemas.openxmlformats.org/officeDocument/2006/relationships/image" Target="../media/image2.png"/><Relationship Id="rId4" Type="http://schemas.openxmlformats.org/officeDocument/2006/relationships/image" Target="../media/image82.png"/><Relationship Id="rId9"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90.emf"/><Relationship Id="rId13" Type="http://schemas.openxmlformats.org/officeDocument/2006/relationships/image" Target="../media/image93.png"/><Relationship Id="rId18" Type="http://schemas.openxmlformats.org/officeDocument/2006/relationships/image" Target="../media/image98.emf"/><Relationship Id="rId26" Type="http://schemas.openxmlformats.org/officeDocument/2006/relationships/image" Target="../media/image106.png"/><Relationship Id="rId3" Type="http://schemas.openxmlformats.org/officeDocument/2006/relationships/image" Target="../media/image87.emf"/><Relationship Id="rId21" Type="http://schemas.openxmlformats.org/officeDocument/2006/relationships/image" Target="../media/image101.png"/><Relationship Id="rId7" Type="http://schemas.openxmlformats.org/officeDocument/2006/relationships/image" Target="../media/image63.png"/><Relationship Id="rId12" Type="http://schemas.openxmlformats.org/officeDocument/2006/relationships/image" Target="../media/image79.png"/><Relationship Id="rId17" Type="http://schemas.openxmlformats.org/officeDocument/2006/relationships/image" Target="../media/image97.png"/><Relationship Id="rId25" Type="http://schemas.openxmlformats.org/officeDocument/2006/relationships/image" Target="../media/image105.emf"/><Relationship Id="rId2" Type="http://schemas.openxmlformats.org/officeDocument/2006/relationships/image" Target="../media/image62.emf"/><Relationship Id="rId16" Type="http://schemas.openxmlformats.org/officeDocument/2006/relationships/image" Target="../media/image96.png"/><Relationship Id="rId20" Type="http://schemas.openxmlformats.org/officeDocument/2006/relationships/image" Target="../media/image100.emf"/><Relationship Id="rId1" Type="http://schemas.openxmlformats.org/officeDocument/2006/relationships/image" Target="../media/image13.jpeg"/><Relationship Id="rId6" Type="http://schemas.openxmlformats.org/officeDocument/2006/relationships/image" Target="../media/image89.emf"/><Relationship Id="rId11" Type="http://schemas.openxmlformats.org/officeDocument/2006/relationships/image" Target="../media/image65.png"/><Relationship Id="rId24" Type="http://schemas.openxmlformats.org/officeDocument/2006/relationships/image" Target="../media/image104.png"/><Relationship Id="rId5" Type="http://schemas.openxmlformats.org/officeDocument/2006/relationships/image" Target="../media/image88.emf"/><Relationship Id="rId15" Type="http://schemas.openxmlformats.org/officeDocument/2006/relationships/image" Target="../media/image95.png"/><Relationship Id="rId23" Type="http://schemas.openxmlformats.org/officeDocument/2006/relationships/image" Target="../media/image103.png"/><Relationship Id="rId10" Type="http://schemas.openxmlformats.org/officeDocument/2006/relationships/image" Target="../media/image92.emf"/><Relationship Id="rId19" Type="http://schemas.openxmlformats.org/officeDocument/2006/relationships/image" Target="../media/image99.emf"/><Relationship Id="rId4" Type="http://schemas.openxmlformats.org/officeDocument/2006/relationships/image" Target="../media/image61.emf"/><Relationship Id="rId9" Type="http://schemas.openxmlformats.org/officeDocument/2006/relationships/image" Target="../media/image91.emf"/><Relationship Id="rId14" Type="http://schemas.openxmlformats.org/officeDocument/2006/relationships/image" Target="../media/image94.png"/><Relationship Id="rId22" Type="http://schemas.openxmlformats.org/officeDocument/2006/relationships/image" Target="../media/image10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4.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4.jpeg"/><Relationship Id="rId5" Type="http://schemas.openxmlformats.org/officeDocument/2006/relationships/image" Target="../media/image2.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2.jpeg"/><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3.jpe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3.png"/><Relationship Id="rId5" Type="http://schemas.openxmlformats.org/officeDocument/2006/relationships/image" Target="../media/image18.png"/><Relationship Id="rId10" Type="http://schemas.openxmlformats.org/officeDocument/2006/relationships/image" Target="../media/image22.png"/><Relationship Id="rId4" Type="http://schemas.openxmlformats.org/officeDocument/2006/relationships/image" Target="../media/image17.png"/><Relationship Id="rId9"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image" Target="../media/image24.png"/><Relationship Id="rId7" Type="http://schemas.openxmlformats.org/officeDocument/2006/relationships/image" Target="../media/image2.png"/><Relationship Id="rId12" Type="http://schemas.openxmlformats.org/officeDocument/2006/relationships/image" Target="../media/image30.emf"/><Relationship Id="rId2" Type="http://schemas.openxmlformats.org/officeDocument/2006/relationships/image" Target="../media/image19.png"/><Relationship Id="rId1" Type="http://schemas.openxmlformats.org/officeDocument/2006/relationships/image" Target="../media/image14.png"/><Relationship Id="rId6" Type="http://schemas.openxmlformats.org/officeDocument/2006/relationships/image" Target="../media/image1.jpeg"/><Relationship Id="rId11" Type="http://schemas.openxmlformats.org/officeDocument/2006/relationships/image" Target="../media/image29.png"/><Relationship Id="rId5" Type="http://schemas.openxmlformats.org/officeDocument/2006/relationships/image" Target="../media/image26.png"/><Relationship Id="rId10" Type="http://schemas.openxmlformats.org/officeDocument/2006/relationships/image" Target="../media/image28.png"/><Relationship Id="rId4" Type="http://schemas.openxmlformats.org/officeDocument/2006/relationships/image" Target="../media/image25.png"/><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3.png"/><Relationship Id="rId7" Type="http://schemas.openxmlformats.org/officeDocument/2006/relationships/image" Target="../media/image4.jpe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emf"/><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20" Type="http://schemas.openxmlformats.org/officeDocument/2006/relationships/image" Target="../media/image53.png"/><Relationship Id="rId1" Type="http://schemas.openxmlformats.org/officeDocument/2006/relationships/image" Target="../media/image13.jpe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emf"/><Relationship Id="rId10" Type="http://schemas.openxmlformats.org/officeDocument/2006/relationships/image" Target="../media/image43.png"/><Relationship Id="rId19" Type="http://schemas.openxmlformats.org/officeDocument/2006/relationships/image" Target="../media/image52.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editAs="oneCell">
    <xdr:from>
      <xdr:col>0</xdr:col>
      <xdr:colOff>291353</xdr:colOff>
      <xdr:row>0</xdr:row>
      <xdr:rowOff>179294</xdr:rowOff>
    </xdr:from>
    <xdr:to>
      <xdr:col>3</xdr:col>
      <xdr:colOff>317014</xdr:colOff>
      <xdr:row>5</xdr:row>
      <xdr:rowOff>135703</xdr:rowOff>
    </xdr:to>
    <xdr:pic>
      <xdr:nvPicPr>
        <xdr:cNvPr id="13" name="Picture 12" descr="oilco">
          <a:extLst>
            <a:ext uri="{FF2B5EF4-FFF2-40B4-BE49-F238E27FC236}">
              <a16:creationId xmlns:a16="http://schemas.microsoft.com/office/drawing/2014/main" id="{62517598-D237-4A62-9A0E-E18A767FD849}"/>
            </a:ext>
          </a:extLst>
        </xdr:cNvPr>
        <xdr:cNvPicPr/>
      </xdr:nvPicPr>
      <xdr:blipFill>
        <a:blip xmlns:r="http://schemas.openxmlformats.org/officeDocument/2006/relationships" r:embed="rId1" cstate="print"/>
        <a:srcRect/>
        <a:stretch>
          <a:fillRect/>
        </a:stretch>
      </xdr:blipFill>
      <xdr:spPr bwMode="auto">
        <a:xfrm>
          <a:off x="287543" y="177389"/>
          <a:ext cx="1191521" cy="901289"/>
        </a:xfrm>
        <a:prstGeom prst="rect">
          <a:avLst/>
        </a:prstGeom>
        <a:noFill/>
        <a:ln w="9525">
          <a:noFill/>
          <a:miter lim="800000"/>
          <a:headEnd/>
          <a:tailEnd/>
        </a:ln>
      </xdr:spPr>
    </xdr:pic>
    <xdr:clientData/>
  </xdr:twoCellAnchor>
  <xdr:twoCellAnchor editAs="oneCell">
    <xdr:from>
      <xdr:col>17</xdr:col>
      <xdr:colOff>249994</xdr:colOff>
      <xdr:row>0</xdr:row>
      <xdr:rowOff>149485</xdr:rowOff>
    </xdr:from>
    <xdr:to>
      <xdr:col>21</xdr:col>
      <xdr:colOff>222196</xdr:colOff>
      <xdr:row>3</xdr:row>
      <xdr:rowOff>97266</xdr:rowOff>
    </xdr:to>
    <xdr:pic>
      <xdr:nvPicPr>
        <xdr:cNvPr id="14" name="Picture 13">
          <a:extLst>
            <a:ext uri="{FF2B5EF4-FFF2-40B4-BE49-F238E27FC236}">
              <a16:creationId xmlns:a16="http://schemas.microsoft.com/office/drawing/2014/main" id="{1BF9A96E-1FD9-4F5C-B815-0A6A1B1D4623}"/>
            </a:ext>
          </a:extLst>
        </xdr:cNvPr>
        <xdr:cNvPicPr>
          <a:picLocks noChangeAspect="1"/>
        </xdr:cNvPicPr>
      </xdr:nvPicPr>
      <xdr:blipFill rotWithShape="1">
        <a:blip xmlns:r="http://schemas.openxmlformats.org/officeDocument/2006/relationships" r:embed="rId2"/>
        <a:srcRect b="49004"/>
        <a:stretch/>
      </xdr:blipFill>
      <xdr:spPr>
        <a:xfrm>
          <a:off x="6885109" y="149485"/>
          <a:ext cx="1526682" cy="519281"/>
        </a:xfrm>
        <a:prstGeom prst="rect">
          <a:avLst/>
        </a:prstGeom>
      </xdr:spPr>
    </xdr:pic>
    <xdr:clientData/>
  </xdr:twoCellAnchor>
  <xdr:twoCellAnchor editAs="oneCell">
    <xdr:from>
      <xdr:col>18</xdr:col>
      <xdr:colOff>308611</xdr:colOff>
      <xdr:row>3</xdr:row>
      <xdr:rowOff>121360</xdr:rowOff>
    </xdr:from>
    <xdr:to>
      <xdr:col>20</xdr:col>
      <xdr:colOff>56478</xdr:colOff>
      <xdr:row>5</xdr:row>
      <xdr:rowOff>93390</xdr:rowOff>
    </xdr:to>
    <xdr:pic>
      <xdr:nvPicPr>
        <xdr:cNvPr id="15" name="Picture 14">
          <a:extLst>
            <a:ext uri="{FF2B5EF4-FFF2-40B4-BE49-F238E27FC236}">
              <a16:creationId xmlns:a16="http://schemas.microsoft.com/office/drawing/2014/main" id="{E3886D87-F6DE-4D6A-BA1A-E0A2A11D11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39966" y="694765"/>
          <a:ext cx="525107" cy="345410"/>
        </a:xfrm>
        <a:prstGeom prst="rect">
          <a:avLst/>
        </a:prstGeom>
        <a:noFill/>
        <a:ln>
          <a:noFill/>
        </a:ln>
      </xdr:spPr>
    </xdr:pic>
    <xdr:clientData/>
  </xdr:twoCellAnchor>
  <xdr:oneCellAnchor>
    <xdr:from>
      <xdr:col>0</xdr:col>
      <xdr:colOff>291353</xdr:colOff>
      <xdr:row>37</xdr:row>
      <xdr:rowOff>179294</xdr:rowOff>
    </xdr:from>
    <xdr:ext cx="1191521" cy="901289"/>
    <xdr:pic>
      <xdr:nvPicPr>
        <xdr:cNvPr id="16" name="Picture 15" descr="oilco">
          <a:extLst>
            <a:ext uri="{FF2B5EF4-FFF2-40B4-BE49-F238E27FC236}">
              <a16:creationId xmlns:a16="http://schemas.microsoft.com/office/drawing/2014/main" id="{B8E46F4B-A342-4393-A89B-98AFDFA1F06B}"/>
            </a:ext>
          </a:extLst>
        </xdr:cNvPr>
        <xdr:cNvPicPr/>
      </xdr:nvPicPr>
      <xdr:blipFill>
        <a:blip xmlns:r="http://schemas.openxmlformats.org/officeDocument/2006/relationships" r:embed="rId1"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37</xdr:row>
      <xdr:rowOff>149485</xdr:rowOff>
    </xdr:from>
    <xdr:ext cx="1526682" cy="519281"/>
    <xdr:pic>
      <xdr:nvPicPr>
        <xdr:cNvPr id="17" name="Picture 16">
          <a:extLst>
            <a:ext uri="{FF2B5EF4-FFF2-40B4-BE49-F238E27FC236}">
              <a16:creationId xmlns:a16="http://schemas.microsoft.com/office/drawing/2014/main" id="{B218D258-A266-4A73-B28C-EAA431BD3EDE}"/>
            </a:ext>
          </a:extLst>
        </xdr:cNvPr>
        <xdr:cNvPicPr>
          <a:picLocks noChangeAspect="1"/>
        </xdr:cNvPicPr>
      </xdr:nvPicPr>
      <xdr:blipFill rotWithShape="1">
        <a:blip xmlns:r="http://schemas.openxmlformats.org/officeDocument/2006/relationships" r:embed="rId2"/>
        <a:srcRect b="49004"/>
        <a:stretch/>
      </xdr:blipFill>
      <xdr:spPr>
        <a:xfrm>
          <a:off x="6856534" y="149485"/>
          <a:ext cx="1526682" cy="519281"/>
        </a:xfrm>
        <a:prstGeom prst="rect">
          <a:avLst/>
        </a:prstGeom>
      </xdr:spPr>
    </xdr:pic>
    <xdr:clientData/>
  </xdr:oneCellAnchor>
  <xdr:oneCellAnchor>
    <xdr:from>
      <xdr:col>18</xdr:col>
      <xdr:colOff>308611</xdr:colOff>
      <xdr:row>40</xdr:row>
      <xdr:rowOff>121360</xdr:rowOff>
    </xdr:from>
    <xdr:ext cx="525107" cy="345410"/>
    <xdr:pic>
      <xdr:nvPicPr>
        <xdr:cNvPr id="18" name="Picture 17">
          <a:extLst>
            <a:ext uri="{FF2B5EF4-FFF2-40B4-BE49-F238E27FC236}">
              <a16:creationId xmlns:a16="http://schemas.microsoft.com/office/drawing/2014/main" id="{9157FF44-F8C3-4D90-8E1F-9ADCD6256A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692860"/>
          <a:ext cx="525107" cy="345410"/>
        </a:xfrm>
        <a:prstGeom prst="rect">
          <a:avLst/>
        </a:prstGeom>
        <a:noFill/>
        <a:ln>
          <a:noFill/>
        </a:ln>
      </xdr:spPr>
    </xdr:pic>
    <xdr:clientData/>
  </xdr:oneCellAnchor>
  <xdr:oneCellAnchor>
    <xdr:from>
      <xdr:col>0</xdr:col>
      <xdr:colOff>291353</xdr:colOff>
      <xdr:row>84</xdr:row>
      <xdr:rowOff>179294</xdr:rowOff>
    </xdr:from>
    <xdr:ext cx="1191521" cy="901289"/>
    <xdr:pic>
      <xdr:nvPicPr>
        <xdr:cNvPr id="19" name="Picture 18" descr="oilco">
          <a:extLst>
            <a:ext uri="{FF2B5EF4-FFF2-40B4-BE49-F238E27FC236}">
              <a16:creationId xmlns:a16="http://schemas.microsoft.com/office/drawing/2014/main" id="{23F3A117-97D4-4046-AE0E-A61AD17AB1BD}"/>
            </a:ext>
          </a:extLst>
        </xdr:cNvPr>
        <xdr:cNvPicPr/>
      </xdr:nvPicPr>
      <xdr:blipFill>
        <a:blip xmlns:r="http://schemas.openxmlformats.org/officeDocument/2006/relationships" r:embed="rId1" cstate="print"/>
        <a:srcRect/>
        <a:stretch>
          <a:fillRect/>
        </a:stretch>
      </xdr:blipFill>
      <xdr:spPr bwMode="auto">
        <a:xfrm>
          <a:off x="291353" y="10397714"/>
          <a:ext cx="1191521" cy="901289"/>
        </a:xfrm>
        <a:prstGeom prst="rect">
          <a:avLst/>
        </a:prstGeom>
        <a:noFill/>
        <a:ln w="9525">
          <a:noFill/>
          <a:miter lim="800000"/>
          <a:headEnd/>
          <a:tailEnd/>
        </a:ln>
      </xdr:spPr>
    </xdr:pic>
    <xdr:clientData/>
  </xdr:oneCellAnchor>
  <xdr:oneCellAnchor>
    <xdr:from>
      <xdr:col>17</xdr:col>
      <xdr:colOff>249994</xdr:colOff>
      <xdr:row>84</xdr:row>
      <xdr:rowOff>149485</xdr:rowOff>
    </xdr:from>
    <xdr:ext cx="1526682" cy="519281"/>
    <xdr:pic>
      <xdr:nvPicPr>
        <xdr:cNvPr id="20" name="Picture 19">
          <a:extLst>
            <a:ext uri="{FF2B5EF4-FFF2-40B4-BE49-F238E27FC236}">
              <a16:creationId xmlns:a16="http://schemas.microsoft.com/office/drawing/2014/main" id="{2C0827E3-0FC9-438A-AD25-03CBB788B19E}"/>
            </a:ext>
          </a:extLst>
        </xdr:cNvPr>
        <xdr:cNvPicPr>
          <a:picLocks noChangeAspect="1"/>
        </xdr:cNvPicPr>
      </xdr:nvPicPr>
      <xdr:blipFill rotWithShape="1">
        <a:blip xmlns:r="http://schemas.openxmlformats.org/officeDocument/2006/relationships" r:embed="rId2"/>
        <a:srcRect b="49004"/>
        <a:stretch/>
      </xdr:blipFill>
      <xdr:spPr>
        <a:xfrm>
          <a:off x="6856534" y="10367905"/>
          <a:ext cx="1526682" cy="519281"/>
        </a:xfrm>
        <a:prstGeom prst="rect">
          <a:avLst/>
        </a:prstGeom>
      </xdr:spPr>
    </xdr:pic>
    <xdr:clientData/>
  </xdr:oneCellAnchor>
  <xdr:oneCellAnchor>
    <xdr:from>
      <xdr:col>18</xdr:col>
      <xdr:colOff>308611</xdr:colOff>
      <xdr:row>87</xdr:row>
      <xdr:rowOff>121360</xdr:rowOff>
    </xdr:from>
    <xdr:ext cx="525107" cy="345410"/>
    <xdr:pic>
      <xdr:nvPicPr>
        <xdr:cNvPr id="21" name="Picture 20">
          <a:extLst>
            <a:ext uri="{FF2B5EF4-FFF2-40B4-BE49-F238E27FC236}">
              <a16:creationId xmlns:a16="http://schemas.microsoft.com/office/drawing/2014/main" id="{03416E0B-8A7C-45A1-9E7D-0B274019E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10896040"/>
          <a:ext cx="525107" cy="345410"/>
        </a:xfrm>
        <a:prstGeom prst="rect">
          <a:avLst/>
        </a:prstGeom>
        <a:noFill/>
        <a:ln>
          <a:noFill/>
        </a:ln>
      </xdr:spPr>
    </xdr:pic>
    <xdr:clientData/>
  </xdr:oneCellAnchor>
  <xdr:oneCellAnchor>
    <xdr:from>
      <xdr:col>0</xdr:col>
      <xdr:colOff>291353</xdr:colOff>
      <xdr:row>132</xdr:row>
      <xdr:rowOff>179294</xdr:rowOff>
    </xdr:from>
    <xdr:ext cx="1191521" cy="901289"/>
    <xdr:pic>
      <xdr:nvPicPr>
        <xdr:cNvPr id="22" name="Picture 21" descr="oilco">
          <a:extLst>
            <a:ext uri="{FF2B5EF4-FFF2-40B4-BE49-F238E27FC236}">
              <a16:creationId xmlns:a16="http://schemas.microsoft.com/office/drawing/2014/main" id="{0FF3B4AF-6FFE-4349-8ED1-7B5D8E01BA90}"/>
            </a:ext>
          </a:extLst>
        </xdr:cNvPr>
        <xdr:cNvPicPr/>
      </xdr:nvPicPr>
      <xdr:blipFill>
        <a:blip xmlns:r="http://schemas.openxmlformats.org/officeDocument/2006/relationships" r:embed="rId1" cstate="print"/>
        <a:srcRect/>
        <a:stretch>
          <a:fillRect/>
        </a:stretch>
      </xdr:blipFill>
      <xdr:spPr bwMode="auto">
        <a:xfrm>
          <a:off x="291353" y="23237414"/>
          <a:ext cx="1191521" cy="901289"/>
        </a:xfrm>
        <a:prstGeom prst="rect">
          <a:avLst/>
        </a:prstGeom>
        <a:noFill/>
        <a:ln w="9525">
          <a:noFill/>
          <a:miter lim="800000"/>
          <a:headEnd/>
          <a:tailEnd/>
        </a:ln>
      </xdr:spPr>
    </xdr:pic>
    <xdr:clientData/>
  </xdr:oneCellAnchor>
  <xdr:oneCellAnchor>
    <xdr:from>
      <xdr:col>17</xdr:col>
      <xdr:colOff>249994</xdr:colOff>
      <xdr:row>132</xdr:row>
      <xdr:rowOff>149485</xdr:rowOff>
    </xdr:from>
    <xdr:ext cx="1526682" cy="519281"/>
    <xdr:pic>
      <xdr:nvPicPr>
        <xdr:cNvPr id="23" name="Picture 22">
          <a:extLst>
            <a:ext uri="{FF2B5EF4-FFF2-40B4-BE49-F238E27FC236}">
              <a16:creationId xmlns:a16="http://schemas.microsoft.com/office/drawing/2014/main" id="{A05E8486-CF00-400E-801B-39181C5C50CA}"/>
            </a:ext>
          </a:extLst>
        </xdr:cNvPr>
        <xdr:cNvPicPr>
          <a:picLocks noChangeAspect="1"/>
        </xdr:cNvPicPr>
      </xdr:nvPicPr>
      <xdr:blipFill rotWithShape="1">
        <a:blip xmlns:r="http://schemas.openxmlformats.org/officeDocument/2006/relationships" r:embed="rId2"/>
        <a:srcRect b="49004"/>
        <a:stretch/>
      </xdr:blipFill>
      <xdr:spPr>
        <a:xfrm>
          <a:off x="6856534" y="23207605"/>
          <a:ext cx="1526682" cy="519281"/>
        </a:xfrm>
        <a:prstGeom prst="rect">
          <a:avLst/>
        </a:prstGeom>
      </xdr:spPr>
    </xdr:pic>
    <xdr:clientData/>
  </xdr:oneCellAnchor>
  <xdr:oneCellAnchor>
    <xdr:from>
      <xdr:col>18</xdr:col>
      <xdr:colOff>308611</xdr:colOff>
      <xdr:row>135</xdr:row>
      <xdr:rowOff>121360</xdr:rowOff>
    </xdr:from>
    <xdr:ext cx="525107" cy="345410"/>
    <xdr:pic>
      <xdr:nvPicPr>
        <xdr:cNvPr id="24" name="Picture 23">
          <a:extLst>
            <a:ext uri="{FF2B5EF4-FFF2-40B4-BE49-F238E27FC236}">
              <a16:creationId xmlns:a16="http://schemas.microsoft.com/office/drawing/2014/main" id="{CCF30706-853A-42F3-886F-804FA71CBD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23735740"/>
          <a:ext cx="525107" cy="345410"/>
        </a:xfrm>
        <a:prstGeom prst="rect">
          <a:avLst/>
        </a:prstGeom>
        <a:noFill/>
        <a:ln>
          <a:noFill/>
        </a:ln>
      </xdr:spPr>
    </xdr:pic>
    <xdr:clientData/>
  </xdr:oneCellAnchor>
  <xdr:oneCellAnchor>
    <xdr:from>
      <xdr:col>0</xdr:col>
      <xdr:colOff>291353</xdr:colOff>
      <xdr:row>189</xdr:row>
      <xdr:rowOff>179294</xdr:rowOff>
    </xdr:from>
    <xdr:ext cx="1191521" cy="901289"/>
    <xdr:pic>
      <xdr:nvPicPr>
        <xdr:cNvPr id="25" name="Picture 24" descr="oilco">
          <a:extLst>
            <a:ext uri="{FF2B5EF4-FFF2-40B4-BE49-F238E27FC236}">
              <a16:creationId xmlns:a16="http://schemas.microsoft.com/office/drawing/2014/main" id="{0BFA367D-4935-43D2-8F73-61D07CE2E8BC}"/>
            </a:ext>
          </a:extLst>
        </xdr:cNvPr>
        <xdr:cNvPicPr/>
      </xdr:nvPicPr>
      <xdr:blipFill>
        <a:blip xmlns:r="http://schemas.openxmlformats.org/officeDocument/2006/relationships" r:embed="rId1" cstate="print"/>
        <a:srcRect/>
        <a:stretch>
          <a:fillRect/>
        </a:stretch>
      </xdr:blipFill>
      <xdr:spPr bwMode="auto">
        <a:xfrm>
          <a:off x="291353" y="32427134"/>
          <a:ext cx="1191521" cy="901289"/>
        </a:xfrm>
        <a:prstGeom prst="rect">
          <a:avLst/>
        </a:prstGeom>
        <a:noFill/>
        <a:ln w="9525">
          <a:noFill/>
          <a:miter lim="800000"/>
          <a:headEnd/>
          <a:tailEnd/>
        </a:ln>
      </xdr:spPr>
    </xdr:pic>
    <xdr:clientData/>
  </xdr:oneCellAnchor>
  <xdr:oneCellAnchor>
    <xdr:from>
      <xdr:col>17</xdr:col>
      <xdr:colOff>249994</xdr:colOff>
      <xdr:row>189</xdr:row>
      <xdr:rowOff>149485</xdr:rowOff>
    </xdr:from>
    <xdr:ext cx="1526682" cy="519281"/>
    <xdr:pic>
      <xdr:nvPicPr>
        <xdr:cNvPr id="26" name="Picture 25">
          <a:extLst>
            <a:ext uri="{FF2B5EF4-FFF2-40B4-BE49-F238E27FC236}">
              <a16:creationId xmlns:a16="http://schemas.microsoft.com/office/drawing/2014/main" id="{FDA790FC-8736-4828-98A3-03C6552512B7}"/>
            </a:ext>
          </a:extLst>
        </xdr:cNvPr>
        <xdr:cNvPicPr>
          <a:picLocks noChangeAspect="1"/>
        </xdr:cNvPicPr>
      </xdr:nvPicPr>
      <xdr:blipFill rotWithShape="1">
        <a:blip xmlns:r="http://schemas.openxmlformats.org/officeDocument/2006/relationships" r:embed="rId2"/>
        <a:srcRect b="49004"/>
        <a:stretch/>
      </xdr:blipFill>
      <xdr:spPr>
        <a:xfrm>
          <a:off x="6856534" y="32397325"/>
          <a:ext cx="1526682" cy="519281"/>
        </a:xfrm>
        <a:prstGeom prst="rect">
          <a:avLst/>
        </a:prstGeom>
      </xdr:spPr>
    </xdr:pic>
    <xdr:clientData/>
  </xdr:oneCellAnchor>
  <xdr:oneCellAnchor>
    <xdr:from>
      <xdr:col>18</xdr:col>
      <xdr:colOff>308611</xdr:colOff>
      <xdr:row>192</xdr:row>
      <xdr:rowOff>121360</xdr:rowOff>
    </xdr:from>
    <xdr:ext cx="525107" cy="345410"/>
    <xdr:pic>
      <xdr:nvPicPr>
        <xdr:cNvPr id="27" name="Picture 26">
          <a:extLst>
            <a:ext uri="{FF2B5EF4-FFF2-40B4-BE49-F238E27FC236}">
              <a16:creationId xmlns:a16="http://schemas.microsoft.com/office/drawing/2014/main" id="{FB523E43-90C7-428D-9CB8-616DA552AA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32925460"/>
          <a:ext cx="525107" cy="345410"/>
        </a:xfrm>
        <a:prstGeom prst="rect">
          <a:avLst/>
        </a:prstGeom>
        <a:noFill/>
        <a:ln>
          <a:noFill/>
        </a:ln>
      </xdr:spPr>
    </xdr:pic>
    <xdr:clientData/>
  </xdr:oneCellAnchor>
  <xdr:twoCellAnchor>
    <xdr:from>
      <xdr:col>20</xdr:col>
      <xdr:colOff>171449</xdr:colOff>
      <xdr:row>216</xdr:row>
      <xdr:rowOff>85725</xdr:rowOff>
    </xdr:from>
    <xdr:to>
      <xdr:col>21</xdr:col>
      <xdr:colOff>323850</xdr:colOff>
      <xdr:row>218</xdr:row>
      <xdr:rowOff>104775</xdr:rowOff>
    </xdr:to>
    <xdr:sp macro="" textlink="">
      <xdr:nvSpPr>
        <xdr:cNvPr id="2" name="Isosceles Triangle 1">
          <a:extLst>
            <a:ext uri="{FF2B5EF4-FFF2-40B4-BE49-F238E27FC236}">
              <a16:creationId xmlns:a16="http://schemas.microsoft.com/office/drawing/2014/main" id="{00000000-0008-0000-0000-000002000000}"/>
            </a:ext>
          </a:extLst>
        </xdr:cNvPr>
        <xdr:cNvSpPr/>
      </xdr:nvSpPr>
      <xdr:spPr>
        <a:xfrm>
          <a:off x="7791449" y="4916805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n-US" sz="1100"/>
            <a:t>  </a:t>
          </a:r>
          <a:r>
            <a:rPr lang="en-US" sz="1400"/>
            <a:t>V01</a:t>
          </a:r>
        </a:p>
      </xdr:txBody>
    </xdr:sp>
    <xdr:clientData/>
  </xdr:twoCellAnchor>
  <xdr:oneCellAnchor>
    <xdr:from>
      <xdr:col>20</xdr:col>
      <xdr:colOff>250793</xdr:colOff>
      <xdr:row>217</xdr:row>
      <xdr:rowOff>22701</xdr:rowOff>
    </xdr:from>
    <xdr:ext cx="527114"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870793" y="49295526"/>
          <a:ext cx="5271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US" sz="1100"/>
            <a:t>V01</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344487</xdr:colOff>
      <xdr:row>36</xdr:row>
      <xdr:rowOff>47625</xdr:rowOff>
    </xdr:from>
    <xdr:to>
      <xdr:col>14</xdr:col>
      <xdr:colOff>209550</xdr:colOff>
      <xdr:row>45</xdr:row>
      <xdr:rowOff>76201</xdr:rowOff>
    </xdr:to>
    <xdr:pic>
      <xdr:nvPicPr>
        <xdr:cNvPr id="7" name="Picture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a:stretch>
          <a:fillRect/>
        </a:stretch>
      </xdr:blipFill>
      <xdr:spPr>
        <a:xfrm>
          <a:off x="1106487" y="7134225"/>
          <a:ext cx="4551363" cy="1743076"/>
        </a:xfrm>
        <a:prstGeom prst="rect">
          <a:avLst/>
        </a:prstGeom>
      </xdr:spPr>
    </xdr:pic>
    <xdr:clientData/>
  </xdr:twoCellAnchor>
  <xdr:twoCellAnchor editAs="oneCell">
    <xdr:from>
      <xdr:col>2</xdr:col>
      <xdr:colOff>84667</xdr:colOff>
      <xdr:row>44</xdr:row>
      <xdr:rowOff>74084</xdr:rowOff>
    </xdr:from>
    <xdr:to>
      <xdr:col>13</xdr:col>
      <xdr:colOff>317265</xdr:colOff>
      <xdr:row>52</xdr:row>
      <xdr:rowOff>179494</xdr:rowOff>
    </xdr:to>
    <xdr:pic>
      <xdr:nvPicPr>
        <xdr:cNvPr id="8" name="Picture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2"/>
        <a:stretch>
          <a:fillRect/>
        </a:stretch>
      </xdr:blipFill>
      <xdr:spPr>
        <a:xfrm>
          <a:off x="698500" y="7704667"/>
          <a:ext cx="4517390" cy="1629410"/>
        </a:xfrm>
        <a:prstGeom prst="rect">
          <a:avLst/>
        </a:prstGeom>
      </xdr:spPr>
    </xdr:pic>
    <xdr:clientData/>
  </xdr:twoCellAnchor>
  <xdr:twoCellAnchor editAs="oneCell">
    <xdr:from>
      <xdr:col>0</xdr:col>
      <xdr:colOff>185208</xdr:colOff>
      <xdr:row>64</xdr:row>
      <xdr:rowOff>95250</xdr:rowOff>
    </xdr:from>
    <xdr:to>
      <xdr:col>14</xdr:col>
      <xdr:colOff>314394</xdr:colOff>
      <xdr:row>70</xdr:row>
      <xdr:rowOff>73659</xdr:rowOff>
    </xdr:to>
    <xdr:pic>
      <xdr:nvPicPr>
        <xdr:cNvPr id="11" name="Picture 10">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3"/>
        <a:stretch>
          <a:fillRect/>
        </a:stretch>
      </xdr:blipFill>
      <xdr:spPr>
        <a:xfrm>
          <a:off x="185208" y="10773833"/>
          <a:ext cx="5553710" cy="1121410"/>
        </a:xfrm>
        <a:prstGeom prst="rect">
          <a:avLst/>
        </a:prstGeom>
      </xdr:spPr>
    </xdr:pic>
    <xdr:clientData/>
  </xdr:twoCellAnchor>
  <xdr:twoCellAnchor editAs="oneCell">
    <xdr:from>
      <xdr:col>0</xdr:col>
      <xdr:colOff>296333</xdr:colOff>
      <xdr:row>70</xdr:row>
      <xdr:rowOff>171450</xdr:rowOff>
    </xdr:from>
    <xdr:to>
      <xdr:col>11</xdr:col>
      <xdr:colOff>45697</xdr:colOff>
      <xdr:row>77</xdr:row>
      <xdr:rowOff>105411</xdr:rowOff>
    </xdr:to>
    <xdr:pic>
      <xdr:nvPicPr>
        <xdr:cNvPr id="12" name="Picture 11">
          <a:extLst>
            <a:ext uri="{FF2B5EF4-FFF2-40B4-BE49-F238E27FC236}">
              <a16:creationId xmlns:a16="http://schemas.microsoft.com/office/drawing/2014/main" id="{00000000-0008-0000-0900-00000C000000}"/>
            </a:ext>
          </a:extLst>
        </xdr:cNvPr>
        <xdr:cNvPicPr/>
      </xdr:nvPicPr>
      <xdr:blipFill>
        <a:blip xmlns:r="http://schemas.openxmlformats.org/officeDocument/2006/relationships" r:embed="rId4"/>
        <a:stretch>
          <a:fillRect/>
        </a:stretch>
      </xdr:blipFill>
      <xdr:spPr>
        <a:xfrm>
          <a:off x="296333" y="11993033"/>
          <a:ext cx="4037330" cy="1267460"/>
        </a:xfrm>
        <a:prstGeom prst="rect">
          <a:avLst/>
        </a:prstGeom>
      </xdr:spPr>
    </xdr:pic>
    <xdr:clientData/>
  </xdr:twoCellAnchor>
  <xdr:oneCellAnchor>
    <xdr:from>
      <xdr:col>4</xdr:col>
      <xdr:colOff>42862</xdr:colOff>
      <xdr:row>85</xdr:row>
      <xdr:rowOff>189706</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49362" y="1467564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206953</xdr:colOff>
      <xdr:row>116</xdr:row>
      <xdr:rowOff>85726</xdr:rowOff>
    </xdr:from>
    <xdr:to>
      <xdr:col>8</xdr:col>
      <xdr:colOff>142009</xdr:colOff>
      <xdr:row>123</xdr:row>
      <xdr:rowOff>141144</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5"/>
        <a:srcRect l="11568" t="32296" r="56949" b="35669"/>
        <a:stretch/>
      </xdr:blipFill>
      <xdr:spPr>
        <a:xfrm>
          <a:off x="206953" y="22621876"/>
          <a:ext cx="3061570" cy="1388918"/>
        </a:xfrm>
        <a:prstGeom prst="rect">
          <a:avLst/>
        </a:prstGeom>
      </xdr:spPr>
    </xdr:pic>
    <xdr:clientData/>
  </xdr:twoCellAnchor>
  <xdr:twoCellAnchor editAs="oneCell">
    <xdr:from>
      <xdr:col>9</xdr:col>
      <xdr:colOff>83739</xdr:colOff>
      <xdr:row>115</xdr:row>
      <xdr:rowOff>9219</xdr:rowOff>
    </xdr:from>
    <xdr:to>
      <xdr:col>20</xdr:col>
      <xdr:colOff>84527</xdr:colOff>
      <xdr:row>121</xdr:row>
      <xdr:rowOff>19610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6"/>
        <a:srcRect l="11128" t="49225" r="54314" b="33585"/>
        <a:stretch/>
      </xdr:blipFill>
      <xdr:spPr>
        <a:xfrm>
          <a:off x="3624798" y="22364954"/>
          <a:ext cx="4191788" cy="1153391"/>
        </a:xfrm>
        <a:prstGeom prst="rect">
          <a:avLst/>
        </a:prstGeom>
      </xdr:spPr>
    </xdr:pic>
    <xdr:clientData/>
  </xdr:twoCellAnchor>
  <xdr:oneCellAnchor>
    <xdr:from>
      <xdr:col>15</xdr:col>
      <xdr:colOff>53686</xdr:colOff>
      <xdr:row>148</xdr:row>
      <xdr:rowOff>101311</xdr:rowOff>
    </xdr:from>
    <xdr:ext cx="150041" cy="17222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5" name="TextBox 24"/>
            <xdr:cNvSpPr txBox="1"/>
          </xdr:nvSpPr>
          <xdr:spPr>
            <a:xfrm>
              <a:off x="4599709" y="26779970"/>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0</xdr:col>
      <xdr:colOff>248640</xdr:colOff>
      <xdr:row>170</xdr:row>
      <xdr:rowOff>34636</xdr:rowOff>
    </xdr:from>
    <xdr:to>
      <xdr:col>12</xdr:col>
      <xdr:colOff>139340</xdr:colOff>
      <xdr:row>177</xdr:row>
      <xdr:rowOff>59378</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7"/>
        <a:srcRect l="10250" t="33224" r="12435" b="24504"/>
        <a:stretch/>
      </xdr:blipFill>
      <xdr:spPr>
        <a:xfrm>
          <a:off x="248640" y="31856795"/>
          <a:ext cx="4500329" cy="1358242"/>
        </a:xfrm>
        <a:prstGeom prst="rect">
          <a:avLst/>
        </a:prstGeom>
      </xdr:spPr>
    </xdr:pic>
    <xdr:clientData/>
  </xdr:twoCellAnchor>
  <xdr:twoCellAnchor editAs="oneCell">
    <xdr:from>
      <xdr:col>1</xdr:col>
      <xdr:colOff>25977</xdr:colOff>
      <xdr:row>224</xdr:row>
      <xdr:rowOff>34637</xdr:rowOff>
    </xdr:from>
    <xdr:to>
      <xdr:col>5</xdr:col>
      <xdr:colOff>125745</xdr:colOff>
      <xdr:row>226</xdr:row>
      <xdr:rowOff>7120</xdr:rowOff>
    </xdr:to>
    <xdr:pic>
      <xdr:nvPicPr>
        <xdr:cNvPr id="33" name="Picture 32">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9045" y="41762796"/>
          <a:ext cx="1600200" cy="35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235</xdr:row>
      <xdr:rowOff>0</xdr:rowOff>
    </xdr:from>
    <xdr:to>
      <xdr:col>7</xdr:col>
      <xdr:colOff>36727</xdr:colOff>
      <xdr:row>238</xdr:row>
      <xdr:rowOff>171450</xdr:rowOff>
    </xdr:to>
    <xdr:pic>
      <xdr:nvPicPr>
        <xdr:cNvPr id="34" name="Picture 33">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3068" y="43823659"/>
          <a:ext cx="2400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62345</xdr:colOff>
      <xdr:row>236</xdr:row>
      <xdr:rowOff>118629</xdr:rowOff>
    </xdr:from>
    <xdr:ext cx="150041"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 name="TextBox 1"/>
            <xdr:cNvSpPr txBox="1"/>
          </xdr:nvSpPr>
          <xdr:spPr>
            <a:xfrm>
              <a:off x="2789959" y="44132788"/>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6</xdr:col>
      <xdr:colOff>24246</xdr:colOff>
      <xdr:row>275</xdr:row>
      <xdr:rowOff>114299</xdr:rowOff>
    </xdr:from>
    <xdr:to>
      <xdr:col>14</xdr:col>
      <xdr:colOff>347514</xdr:colOff>
      <xdr:row>278</xdr:row>
      <xdr:rowOff>175259</xdr:rowOff>
    </xdr:to>
    <xdr:pic>
      <xdr:nvPicPr>
        <xdr:cNvPr id="35" name="Picture 34">
          <a:extLst>
            <a:ext uri="{FF2B5EF4-FFF2-40B4-BE49-F238E27FC236}">
              <a16:creationId xmlns:a16="http://schemas.microsoft.com/office/drawing/2014/main" id="{00000000-0008-0000-0900-000023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3046" y="51558824"/>
          <a:ext cx="3449782" cy="632460"/>
        </a:xfrm>
        <a:prstGeom prst="rect">
          <a:avLst/>
        </a:prstGeom>
        <a:noFill/>
        <a:ln>
          <a:noFill/>
        </a:ln>
      </xdr:spPr>
    </xdr:pic>
    <xdr:clientData/>
  </xdr:twoCellAnchor>
  <xdr:twoCellAnchor editAs="oneCell">
    <xdr:from>
      <xdr:col>6</xdr:col>
      <xdr:colOff>112569</xdr:colOff>
      <xdr:row>281</xdr:row>
      <xdr:rowOff>60613</xdr:rowOff>
    </xdr:from>
    <xdr:to>
      <xdr:col>16</xdr:col>
      <xdr:colOff>337650</xdr:colOff>
      <xdr:row>284</xdr:row>
      <xdr:rowOff>174913</xdr:rowOff>
    </xdr:to>
    <xdr:pic>
      <xdr:nvPicPr>
        <xdr:cNvPr id="38" name="Pictur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11"/>
        <a:srcRect l="12284" t="54695" r="51873" b="34627"/>
        <a:stretch/>
      </xdr:blipFill>
      <xdr:spPr>
        <a:xfrm>
          <a:off x="1930978" y="49980272"/>
          <a:ext cx="4083627" cy="781050"/>
        </a:xfrm>
        <a:prstGeom prst="rect">
          <a:avLst/>
        </a:prstGeom>
      </xdr:spPr>
    </xdr:pic>
    <xdr:clientData/>
  </xdr:twoCellAnchor>
  <xdr:twoCellAnchor editAs="oneCell">
    <xdr:from>
      <xdr:col>0</xdr:col>
      <xdr:colOff>209550</xdr:colOff>
      <xdr:row>241</xdr:row>
      <xdr:rowOff>38100</xdr:rowOff>
    </xdr:from>
    <xdr:to>
      <xdr:col>8</xdr:col>
      <xdr:colOff>254861</xdr:colOff>
      <xdr:row>244</xdr:row>
      <xdr:rowOff>177009</xdr:rowOff>
    </xdr:to>
    <xdr:pic>
      <xdr:nvPicPr>
        <xdr:cNvPr id="41" name="Picture 40">
          <a:extLst>
            <a:ext uri="{FF2B5EF4-FFF2-40B4-BE49-F238E27FC236}">
              <a16:creationId xmlns:a16="http://schemas.microsoft.com/office/drawing/2014/main" id="{00000000-0008-0000-0900-000029000000}"/>
            </a:ext>
          </a:extLst>
        </xdr:cNvPr>
        <xdr:cNvPicPr>
          <a:picLocks noChangeAspect="1"/>
        </xdr:cNvPicPr>
      </xdr:nvPicPr>
      <xdr:blipFill rotWithShape="1">
        <a:blip xmlns:r="http://schemas.openxmlformats.org/officeDocument/2006/relationships" r:embed="rId12"/>
        <a:srcRect l="11470" t="45796" r="49848" b="38794"/>
        <a:stretch/>
      </xdr:blipFill>
      <xdr:spPr>
        <a:xfrm>
          <a:off x="209550" y="45005625"/>
          <a:ext cx="3171825" cy="710409"/>
        </a:xfrm>
        <a:prstGeom prst="rect">
          <a:avLst/>
        </a:prstGeom>
      </xdr:spPr>
    </xdr:pic>
    <xdr:clientData/>
  </xdr:twoCellAnchor>
  <xdr:twoCellAnchor editAs="oneCell">
    <xdr:from>
      <xdr:col>1</xdr:col>
      <xdr:colOff>76200</xdr:colOff>
      <xdr:row>252</xdr:row>
      <xdr:rowOff>66675</xdr:rowOff>
    </xdr:from>
    <xdr:to>
      <xdr:col>6</xdr:col>
      <xdr:colOff>317638</xdr:colOff>
      <xdr:row>256</xdr:row>
      <xdr:rowOff>90750</xdr:rowOff>
    </xdr:to>
    <xdr:pic>
      <xdr:nvPicPr>
        <xdr:cNvPr id="42" name="Picture 41">
          <a:extLst>
            <a:ext uri="{FF2B5EF4-FFF2-40B4-BE49-F238E27FC236}">
              <a16:creationId xmlns:a16="http://schemas.microsoft.com/office/drawing/2014/main" id="{00000000-0008-0000-0900-00002A000000}"/>
            </a:ext>
          </a:extLst>
        </xdr:cNvPr>
        <xdr:cNvPicPr>
          <a:picLocks noChangeAspect="1"/>
        </xdr:cNvPicPr>
      </xdr:nvPicPr>
      <xdr:blipFill rotWithShape="1">
        <a:blip xmlns:r="http://schemas.openxmlformats.org/officeDocument/2006/relationships" r:embed="rId13"/>
        <a:srcRect l="13103" t="51169" r="64205" b="33513"/>
        <a:stretch/>
      </xdr:blipFill>
      <xdr:spPr>
        <a:xfrm>
          <a:off x="381000" y="47129700"/>
          <a:ext cx="2124075" cy="786075"/>
        </a:xfrm>
        <a:prstGeom prst="rect">
          <a:avLst/>
        </a:prstGeom>
      </xdr:spPr>
    </xdr:pic>
    <xdr:clientData/>
  </xdr:twoCellAnchor>
  <xdr:twoCellAnchor editAs="oneCell">
    <xdr:from>
      <xdr:col>12</xdr:col>
      <xdr:colOff>28575</xdr:colOff>
      <xdr:row>330</xdr:row>
      <xdr:rowOff>95250</xdr:rowOff>
    </xdr:from>
    <xdr:to>
      <xdr:col>15</xdr:col>
      <xdr:colOff>216922</xdr:colOff>
      <xdr:row>333</xdr:row>
      <xdr:rowOff>84455</xdr:rowOff>
    </xdr:to>
    <xdr:pic>
      <xdr:nvPicPr>
        <xdr:cNvPr id="46" name="Picture 45">
          <a:extLst>
            <a:ext uri="{FF2B5EF4-FFF2-40B4-BE49-F238E27FC236}">
              <a16:creationId xmlns:a16="http://schemas.microsoft.com/office/drawing/2014/main" id="{00000000-0008-0000-0900-00002E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6175" y="63350775"/>
          <a:ext cx="1320165" cy="560705"/>
        </a:xfrm>
        <a:prstGeom prst="rect">
          <a:avLst/>
        </a:prstGeom>
        <a:noFill/>
        <a:ln>
          <a:noFill/>
        </a:ln>
      </xdr:spPr>
    </xdr:pic>
    <xdr:clientData/>
  </xdr:twoCellAnchor>
  <xdr:oneCellAnchor>
    <xdr:from>
      <xdr:col>11</xdr:col>
      <xdr:colOff>85725</xdr:colOff>
      <xdr:row>331</xdr:row>
      <xdr:rowOff>100012</xdr:rowOff>
    </xdr:from>
    <xdr:ext cx="150041"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 name="TextBox 2"/>
            <xdr:cNvSpPr txBox="1"/>
          </xdr:nvSpPr>
          <xdr:spPr>
            <a:xfrm>
              <a:off x="3438525" y="63546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8</xdr:col>
      <xdr:colOff>219075</xdr:colOff>
      <xdr:row>328</xdr:row>
      <xdr:rowOff>119062</xdr:rowOff>
    </xdr:from>
    <xdr:ext cx="150041"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2657475" y="62993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161925</xdr:colOff>
      <xdr:row>338</xdr:row>
      <xdr:rowOff>66675</xdr:rowOff>
    </xdr:from>
    <xdr:to>
      <xdr:col>13</xdr:col>
      <xdr:colOff>345887</xdr:colOff>
      <xdr:row>347</xdr:row>
      <xdr:rowOff>100330</xdr:rowOff>
    </xdr:to>
    <xdr:pic>
      <xdr:nvPicPr>
        <xdr:cNvPr id="47" name="Picture 46">
          <a:extLst>
            <a:ext uri="{FF2B5EF4-FFF2-40B4-BE49-F238E27FC236}">
              <a16:creationId xmlns:a16="http://schemas.microsoft.com/office/drawing/2014/main" id="{00000000-0008-0000-0900-00002F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6725" y="64846200"/>
          <a:ext cx="4815840" cy="1748155"/>
        </a:xfrm>
        <a:prstGeom prst="rect">
          <a:avLst/>
        </a:prstGeom>
        <a:noFill/>
        <a:ln>
          <a:noFill/>
        </a:ln>
      </xdr:spPr>
    </xdr:pic>
    <xdr:clientData/>
  </xdr:twoCellAnchor>
  <xdr:twoCellAnchor editAs="oneCell">
    <xdr:from>
      <xdr:col>1</xdr:col>
      <xdr:colOff>5359</xdr:colOff>
      <xdr:row>378</xdr:row>
      <xdr:rowOff>145676</xdr:rowOff>
    </xdr:from>
    <xdr:to>
      <xdr:col>7</xdr:col>
      <xdr:colOff>172838</xdr:colOff>
      <xdr:row>381</xdr:row>
      <xdr:rowOff>164091</xdr:rowOff>
    </xdr:to>
    <xdr:pic>
      <xdr:nvPicPr>
        <xdr:cNvPr id="50" name="Picture 49">
          <a:extLst>
            <a:ext uri="{FF2B5EF4-FFF2-40B4-BE49-F238E27FC236}">
              <a16:creationId xmlns:a16="http://schemas.microsoft.com/office/drawing/2014/main" id="{00000000-0008-0000-0900-000032000000}"/>
            </a:ext>
          </a:extLst>
        </xdr:cNvPr>
        <xdr:cNvPicPr/>
      </xdr:nvPicPr>
      <xdr:blipFill>
        <a:blip xmlns:r="http://schemas.openxmlformats.org/officeDocument/2006/relationships" r:embed="rId16"/>
        <a:stretch>
          <a:fillRect/>
        </a:stretch>
      </xdr:blipFill>
      <xdr:spPr>
        <a:xfrm>
          <a:off x="386359" y="73970029"/>
          <a:ext cx="2565538" cy="589915"/>
        </a:xfrm>
        <a:prstGeom prst="rect">
          <a:avLst/>
        </a:prstGeom>
      </xdr:spPr>
    </xdr:pic>
    <xdr:clientData/>
  </xdr:twoCellAnchor>
  <xdr:oneCellAnchor>
    <xdr:from>
      <xdr:col>9</xdr:col>
      <xdr:colOff>64604</xdr:colOff>
      <xdr:row>379</xdr:row>
      <xdr:rowOff>118441</xdr:rowOff>
    </xdr:from>
    <xdr:ext cx="65" cy="172227"/>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2822713" y="7194522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xdr:col>
      <xdr:colOff>76200</xdr:colOff>
      <xdr:row>459</xdr:row>
      <xdr:rowOff>38101</xdr:rowOff>
    </xdr:from>
    <xdr:to>
      <xdr:col>15</xdr:col>
      <xdr:colOff>29574</xdr:colOff>
      <xdr:row>469</xdr:row>
      <xdr:rowOff>23499</xdr:rowOff>
    </xdr:to>
    <xdr:pic>
      <xdr:nvPicPr>
        <xdr:cNvPr id="56" name="Picture 55">
          <a:extLst>
            <a:ext uri="{FF2B5EF4-FFF2-40B4-BE49-F238E27FC236}">
              <a16:creationId xmlns:a16="http://schemas.microsoft.com/office/drawing/2014/main" id="{00000000-0008-0000-0900-000038000000}"/>
            </a:ext>
          </a:extLst>
        </xdr:cNvPr>
        <xdr:cNvPicPr>
          <a:picLocks noChangeAspect="1"/>
        </xdr:cNvPicPr>
      </xdr:nvPicPr>
      <xdr:blipFill rotWithShape="1">
        <a:blip xmlns:r="http://schemas.openxmlformats.org/officeDocument/2006/relationships" r:embed="rId17"/>
        <a:srcRect l="10831" t="34926" r="12624" b="16111"/>
        <a:stretch/>
      </xdr:blipFill>
      <xdr:spPr>
        <a:xfrm>
          <a:off x="381000" y="82953226"/>
          <a:ext cx="5343525" cy="1890398"/>
        </a:xfrm>
        <a:prstGeom prst="rect">
          <a:avLst/>
        </a:prstGeom>
      </xdr:spPr>
    </xdr:pic>
    <xdr:clientData/>
  </xdr:twoCellAnchor>
  <xdr:twoCellAnchor editAs="oneCell">
    <xdr:from>
      <xdr:col>4</xdr:col>
      <xdr:colOff>0</xdr:colOff>
      <xdr:row>473</xdr:row>
      <xdr:rowOff>152400</xdr:rowOff>
    </xdr:from>
    <xdr:to>
      <xdr:col>14</xdr:col>
      <xdr:colOff>195640</xdr:colOff>
      <xdr:row>484</xdr:row>
      <xdr:rowOff>95208</xdr:rowOff>
    </xdr:to>
    <xdr:pic>
      <xdr:nvPicPr>
        <xdr:cNvPr id="57" name="Picture 56">
          <a:extLst>
            <a:ext uri="{FF2B5EF4-FFF2-40B4-BE49-F238E27FC236}">
              <a16:creationId xmlns:a16="http://schemas.microsoft.com/office/drawing/2014/main" id="{00000000-0008-0000-0900-000039000000}"/>
            </a:ext>
          </a:extLst>
        </xdr:cNvPr>
        <xdr:cNvPicPr>
          <a:picLocks noChangeAspect="1"/>
        </xdr:cNvPicPr>
      </xdr:nvPicPr>
      <xdr:blipFill rotWithShape="1">
        <a:blip xmlns:r="http://schemas.openxmlformats.org/officeDocument/2006/relationships" r:embed="rId18"/>
        <a:srcRect l="16693" t="26826" r="16241" b="20433"/>
        <a:stretch/>
      </xdr:blipFill>
      <xdr:spPr>
        <a:xfrm>
          <a:off x="1219200" y="85734525"/>
          <a:ext cx="4076700" cy="2038308"/>
        </a:xfrm>
        <a:prstGeom prst="rect">
          <a:avLst/>
        </a:prstGeom>
      </xdr:spPr>
    </xdr:pic>
    <xdr:clientData/>
  </xdr:twoCellAnchor>
  <xdr:oneCellAnchor>
    <xdr:from>
      <xdr:col>7</xdr:col>
      <xdr:colOff>180975</xdr:colOff>
      <xdr:row>485</xdr:row>
      <xdr:rowOff>90487</xdr:rowOff>
    </xdr:from>
    <xdr:ext cx="137538" cy="172227"/>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7" name="TextBox 36"/>
            <xdr:cNvSpPr txBox="1"/>
          </xdr:nvSpPr>
          <xdr:spPr>
            <a:xfrm>
              <a:off x="2314575" y="87958612"/>
              <a:ext cx="1375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12</xdr:col>
      <xdr:colOff>180975</xdr:colOff>
      <xdr:row>485</xdr:row>
      <xdr:rowOff>100012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3838575" y="879681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16</xdr:col>
      <xdr:colOff>57150</xdr:colOff>
      <xdr:row>485</xdr:row>
      <xdr:rowOff>109537</xdr:rowOff>
    </xdr:from>
    <xdr:ext cx="150041" cy="172227"/>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9" name="TextBox 58"/>
            <xdr:cNvSpPr txBox="1"/>
          </xdr:nvSpPr>
          <xdr:spPr>
            <a:xfrm>
              <a:off x="4933950" y="879776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11</xdr:col>
      <xdr:colOff>130772</xdr:colOff>
      <xdr:row>100</xdr:row>
      <xdr:rowOff>9766</xdr:rowOff>
    </xdr:from>
    <xdr:to>
      <xdr:col>13</xdr:col>
      <xdr:colOff>347776</xdr:colOff>
      <xdr:row>102</xdr:row>
      <xdr:rowOff>68075</xdr:rowOff>
    </xdr:to>
    <xdr:pic>
      <xdr:nvPicPr>
        <xdr:cNvPr id="79" name="Picture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9"/>
        <a:stretch>
          <a:fillRect/>
        </a:stretch>
      </xdr:blipFill>
      <xdr:spPr>
        <a:xfrm>
          <a:off x="4527512" y="18861646"/>
          <a:ext cx="994244" cy="424069"/>
        </a:xfrm>
        <a:prstGeom prst="rect">
          <a:avLst/>
        </a:prstGeom>
      </xdr:spPr>
    </xdr:pic>
    <xdr:clientData/>
  </xdr:twoCellAnchor>
  <xdr:twoCellAnchor editAs="oneCell">
    <xdr:from>
      <xdr:col>14</xdr:col>
      <xdr:colOff>104451</xdr:colOff>
      <xdr:row>99</xdr:row>
      <xdr:rowOff>166071</xdr:rowOff>
    </xdr:from>
    <xdr:to>
      <xdr:col>20</xdr:col>
      <xdr:colOff>331590</xdr:colOff>
      <xdr:row>102</xdr:row>
      <xdr:rowOff>13353</xdr:rowOff>
    </xdr:to>
    <xdr:pic>
      <xdr:nvPicPr>
        <xdr:cNvPr id="80" name="Picture 79">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20"/>
        <a:stretch>
          <a:fillRect/>
        </a:stretch>
      </xdr:blipFill>
      <xdr:spPr>
        <a:xfrm>
          <a:off x="5667051" y="18835071"/>
          <a:ext cx="2558859" cy="395922"/>
        </a:xfrm>
        <a:prstGeom prst="rect">
          <a:avLst/>
        </a:prstGeom>
      </xdr:spPr>
    </xdr:pic>
    <xdr:clientData/>
  </xdr:twoCellAnchor>
  <xdr:twoCellAnchor editAs="oneCell">
    <xdr:from>
      <xdr:col>1</xdr:col>
      <xdr:colOff>95250</xdr:colOff>
      <xdr:row>218</xdr:row>
      <xdr:rowOff>0</xdr:rowOff>
    </xdr:from>
    <xdr:to>
      <xdr:col>7</xdr:col>
      <xdr:colOff>266456</xdr:colOff>
      <xdr:row>221</xdr:row>
      <xdr:rowOff>171450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1"/>
        <a:stretch>
          <a:fillRect/>
        </a:stretch>
      </xdr:blipFill>
      <xdr:spPr>
        <a:xfrm>
          <a:off x="447675" y="42005250"/>
          <a:ext cx="2543175" cy="742950"/>
        </a:xfrm>
        <a:prstGeom prst="rect">
          <a:avLst/>
        </a:prstGeom>
      </xdr:spPr>
    </xdr:pic>
    <xdr:clientData/>
  </xdr:twoCellAnchor>
  <xdr:twoCellAnchor editAs="oneCell">
    <xdr:from>
      <xdr:col>0</xdr:col>
      <xdr:colOff>133350</xdr:colOff>
      <xdr:row>327</xdr:row>
      <xdr:rowOff>85725</xdr:rowOff>
    </xdr:from>
    <xdr:to>
      <xdr:col>7</xdr:col>
      <xdr:colOff>79346</xdr:colOff>
      <xdr:row>330</xdr:row>
      <xdr:rowOff>57082</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2"/>
        <a:stretch>
          <a:fillRect/>
        </a:stretch>
      </xdr:blipFill>
      <xdr:spPr>
        <a:xfrm>
          <a:off x="133350" y="62607825"/>
          <a:ext cx="2695238" cy="542857"/>
        </a:xfrm>
        <a:prstGeom prst="rect">
          <a:avLst/>
        </a:prstGeom>
      </xdr:spPr>
    </xdr:pic>
    <xdr:clientData/>
  </xdr:twoCellAnchor>
  <xdr:twoCellAnchor editAs="oneCell">
    <xdr:from>
      <xdr:col>1</xdr:col>
      <xdr:colOff>197225</xdr:colOff>
      <xdr:row>408</xdr:row>
      <xdr:rowOff>14568</xdr:rowOff>
    </xdr:from>
    <xdr:to>
      <xdr:col>7</xdr:col>
      <xdr:colOff>225556</xdr:colOff>
      <xdr:row>410</xdr:row>
      <xdr:rowOff>43876</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
        <a:stretch>
          <a:fillRect/>
        </a:stretch>
      </xdr:blipFill>
      <xdr:spPr>
        <a:xfrm>
          <a:off x="578225" y="79621156"/>
          <a:ext cx="2426390" cy="410308"/>
        </a:xfrm>
        <a:prstGeom prst="rect">
          <a:avLst/>
        </a:prstGeom>
      </xdr:spPr>
    </xdr:pic>
    <xdr:clientData/>
  </xdr:twoCellAnchor>
  <xdr:twoCellAnchor editAs="oneCell">
    <xdr:from>
      <xdr:col>10</xdr:col>
      <xdr:colOff>342900</xdr:colOff>
      <xdr:row>419</xdr:row>
      <xdr:rowOff>0</xdr:rowOff>
    </xdr:from>
    <xdr:to>
      <xdr:col>12</xdr:col>
      <xdr:colOff>279130</xdr:colOff>
      <xdr:row>421</xdr:row>
      <xdr:rowOff>28575</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4"/>
        <a:stretch>
          <a:fillRect/>
        </a:stretch>
      </xdr:blipFill>
      <xdr:spPr>
        <a:xfrm>
          <a:off x="3867150" y="78000225"/>
          <a:ext cx="690776" cy="409575"/>
        </a:xfrm>
        <a:prstGeom prst="rect">
          <a:avLst/>
        </a:prstGeom>
      </xdr:spPr>
    </xdr:pic>
    <xdr:clientData/>
  </xdr:twoCellAnchor>
  <xdr:twoCellAnchor editAs="oneCell">
    <xdr:from>
      <xdr:col>1</xdr:col>
      <xdr:colOff>24848</xdr:colOff>
      <xdr:row>318</xdr:row>
      <xdr:rowOff>41413</xdr:rowOff>
    </xdr:from>
    <xdr:to>
      <xdr:col>5</xdr:col>
      <xdr:colOff>344615</xdr:colOff>
      <xdr:row>319</xdr:row>
      <xdr:rowOff>179507</xdr:rowOff>
    </xdr:to>
    <xdr:pic>
      <xdr:nvPicPr>
        <xdr:cNvPr id="84" name="Pictur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25"/>
        <a:stretch>
          <a:fillRect/>
        </a:stretch>
      </xdr:blipFill>
      <xdr:spPr>
        <a:xfrm>
          <a:off x="405848" y="61216761"/>
          <a:ext cx="1843767" cy="328593"/>
        </a:xfrm>
        <a:prstGeom prst="rect">
          <a:avLst/>
        </a:prstGeom>
      </xdr:spPr>
    </xdr:pic>
    <xdr:clientData/>
  </xdr:twoCellAnchor>
  <xdr:twoCellAnchor editAs="oneCell">
    <xdr:from>
      <xdr:col>16</xdr:col>
      <xdr:colOff>58465</xdr:colOff>
      <xdr:row>319</xdr:row>
      <xdr:rowOff>176371</xdr:rowOff>
    </xdr:from>
    <xdr:to>
      <xdr:col>18</xdr:col>
      <xdr:colOff>337412</xdr:colOff>
      <xdr:row>321</xdr:row>
      <xdr:rowOff>9840</xdr:rowOff>
    </xdr:to>
    <xdr:pic>
      <xdr:nvPicPr>
        <xdr:cNvPr id="85" name="Picture 84">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26"/>
        <a:stretch>
          <a:fillRect/>
        </a:stretch>
      </xdr:blipFill>
      <xdr:spPr>
        <a:xfrm>
          <a:off x="6266524" y="62716400"/>
          <a:ext cx="1040947" cy="236882"/>
        </a:xfrm>
        <a:prstGeom prst="rect">
          <a:avLst/>
        </a:prstGeom>
      </xdr:spPr>
    </xdr:pic>
    <xdr:clientData/>
  </xdr:twoCellAnchor>
  <xdr:twoCellAnchor editAs="oneCell">
    <xdr:from>
      <xdr:col>11</xdr:col>
      <xdr:colOff>201706</xdr:colOff>
      <xdr:row>122</xdr:row>
      <xdr:rowOff>112058</xdr:rowOff>
    </xdr:from>
    <xdr:to>
      <xdr:col>16</xdr:col>
      <xdr:colOff>368548</xdr:colOff>
      <xdr:row>124</xdr:row>
      <xdr:rowOff>22411</xdr:rowOff>
    </xdr:to>
    <xdr:pic>
      <xdr:nvPicPr>
        <xdr:cNvPr id="44" name="Picture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7"/>
        <a:stretch>
          <a:fillRect/>
        </a:stretch>
      </xdr:blipFill>
      <xdr:spPr>
        <a:xfrm>
          <a:off x="4504765" y="23801293"/>
          <a:ext cx="2071842" cy="291353"/>
        </a:xfrm>
        <a:prstGeom prst="rect">
          <a:avLst/>
        </a:prstGeom>
      </xdr:spPr>
    </xdr:pic>
    <xdr:clientData/>
  </xdr:twoCellAnchor>
  <xdr:twoCellAnchor editAs="oneCell">
    <xdr:from>
      <xdr:col>0</xdr:col>
      <xdr:colOff>280147</xdr:colOff>
      <xdr:row>375</xdr:row>
      <xdr:rowOff>67235</xdr:rowOff>
    </xdr:from>
    <xdr:to>
      <xdr:col>14</xdr:col>
      <xdr:colOff>37430</xdr:colOff>
      <xdr:row>378</xdr:row>
      <xdr:rowOff>124473</xdr:rowOff>
    </xdr:to>
    <xdr:pic>
      <xdr:nvPicPr>
        <xdr:cNvPr id="61" name="Picture 60">
          <a:extLst>
            <a:ext uri="{FF2B5EF4-FFF2-40B4-BE49-F238E27FC236}">
              <a16:creationId xmlns:a16="http://schemas.microsoft.com/office/drawing/2014/main" id="{75C5E686-29CB-451C-A77D-98DFF0CEBCF1}"/>
            </a:ext>
          </a:extLst>
        </xdr:cNvPr>
        <xdr:cNvPicPr>
          <a:picLocks noChangeAspect="1"/>
        </xdr:cNvPicPr>
      </xdr:nvPicPr>
      <xdr:blipFill>
        <a:blip xmlns:r="http://schemas.openxmlformats.org/officeDocument/2006/relationships" r:embed="rId28"/>
        <a:stretch>
          <a:fillRect/>
        </a:stretch>
      </xdr:blipFill>
      <xdr:spPr>
        <a:xfrm>
          <a:off x="280147" y="73320088"/>
          <a:ext cx="5203342" cy="628738"/>
        </a:xfrm>
        <a:prstGeom prst="rect">
          <a:avLst/>
        </a:prstGeom>
      </xdr:spPr>
    </xdr:pic>
    <xdr:clientData/>
  </xdr:twoCellAnchor>
  <xdr:twoCellAnchor editAs="oneCell">
    <xdr:from>
      <xdr:col>1</xdr:col>
      <xdr:colOff>268941</xdr:colOff>
      <xdr:row>387</xdr:row>
      <xdr:rowOff>100852</xdr:rowOff>
    </xdr:from>
    <xdr:to>
      <xdr:col>8</xdr:col>
      <xdr:colOff>151811</xdr:colOff>
      <xdr:row>391</xdr:row>
      <xdr:rowOff>100958</xdr:rowOff>
    </xdr:to>
    <xdr:pic>
      <xdr:nvPicPr>
        <xdr:cNvPr id="62" name="Picture 61">
          <a:extLst>
            <a:ext uri="{FF2B5EF4-FFF2-40B4-BE49-F238E27FC236}">
              <a16:creationId xmlns:a16="http://schemas.microsoft.com/office/drawing/2014/main" id="{92D372FE-9B3F-4730-ABAB-DBF5057DFEC8}"/>
            </a:ext>
          </a:extLst>
        </xdr:cNvPr>
        <xdr:cNvPicPr>
          <a:picLocks noChangeAspect="1"/>
        </xdr:cNvPicPr>
      </xdr:nvPicPr>
      <xdr:blipFill>
        <a:blip xmlns:r="http://schemas.openxmlformats.org/officeDocument/2006/relationships" r:embed="rId29"/>
        <a:stretch>
          <a:fillRect/>
        </a:stretch>
      </xdr:blipFill>
      <xdr:spPr>
        <a:xfrm>
          <a:off x="649941" y="75684528"/>
          <a:ext cx="2661929" cy="762106"/>
        </a:xfrm>
        <a:prstGeom prst="rect">
          <a:avLst/>
        </a:prstGeom>
      </xdr:spPr>
    </xdr:pic>
    <xdr:clientData/>
  </xdr:twoCellAnchor>
  <xdr:twoCellAnchor editAs="oneCell">
    <xdr:from>
      <xdr:col>10</xdr:col>
      <xdr:colOff>313765</xdr:colOff>
      <xdr:row>387</xdr:row>
      <xdr:rowOff>112059</xdr:rowOff>
    </xdr:from>
    <xdr:to>
      <xdr:col>18</xdr:col>
      <xdr:colOff>186643</xdr:colOff>
      <xdr:row>391</xdr:row>
      <xdr:rowOff>22412</xdr:rowOff>
    </xdr:to>
    <xdr:pic>
      <xdr:nvPicPr>
        <xdr:cNvPr id="63" name="Picture 62">
          <a:extLst>
            <a:ext uri="{FF2B5EF4-FFF2-40B4-BE49-F238E27FC236}">
              <a16:creationId xmlns:a16="http://schemas.microsoft.com/office/drawing/2014/main" id="{0E436BDB-C8E2-4BB8-B8F7-E6925C554A57}"/>
            </a:ext>
          </a:extLst>
        </xdr:cNvPr>
        <xdr:cNvPicPr>
          <a:picLocks noChangeAspect="1"/>
        </xdr:cNvPicPr>
      </xdr:nvPicPr>
      <xdr:blipFill>
        <a:blip xmlns:r="http://schemas.openxmlformats.org/officeDocument/2006/relationships" r:embed="rId30"/>
        <a:stretch>
          <a:fillRect/>
        </a:stretch>
      </xdr:blipFill>
      <xdr:spPr>
        <a:xfrm>
          <a:off x="4235824" y="75695735"/>
          <a:ext cx="2920878" cy="672353"/>
        </a:xfrm>
        <a:prstGeom prst="rect">
          <a:avLst/>
        </a:prstGeom>
      </xdr:spPr>
    </xdr:pic>
    <xdr:clientData/>
  </xdr:twoCellAnchor>
  <xdr:twoCellAnchor editAs="oneCell">
    <xdr:from>
      <xdr:col>0</xdr:col>
      <xdr:colOff>280147</xdr:colOff>
      <xdr:row>448</xdr:row>
      <xdr:rowOff>112059</xdr:rowOff>
    </xdr:from>
    <xdr:to>
      <xdr:col>17</xdr:col>
      <xdr:colOff>369794</xdr:colOff>
      <xdr:row>457</xdr:row>
      <xdr:rowOff>116673</xdr:rowOff>
    </xdr:to>
    <xdr:pic>
      <xdr:nvPicPr>
        <xdr:cNvPr id="64" name="Picture 63">
          <a:extLst>
            <a:ext uri="{FF2B5EF4-FFF2-40B4-BE49-F238E27FC236}">
              <a16:creationId xmlns:a16="http://schemas.microsoft.com/office/drawing/2014/main" id="{186A459C-8718-8CC6-3738-5CC6421F2188}"/>
            </a:ext>
          </a:extLst>
        </xdr:cNvPr>
        <xdr:cNvPicPr>
          <a:picLocks noChangeAspect="1"/>
        </xdr:cNvPicPr>
      </xdr:nvPicPr>
      <xdr:blipFill>
        <a:blip xmlns:r="http://schemas.openxmlformats.org/officeDocument/2006/relationships" r:embed="rId31"/>
        <a:stretch>
          <a:fillRect/>
        </a:stretch>
      </xdr:blipFill>
      <xdr:spPr>
        <a:xfrm>
          <a:off x="280147" y="87652412"/>
          <a:ext cx="6678706" cy="1819968"/>
        </a:xfrm>
        <a:prstGeom prst="rect">
          <a:avLst/>
        </a:prstGeom>
      </xdr:spPr>
    </xdr:pic>
    <xdr:clientData/>
  </xdr:twoCellAnchor>
  <xdr:oneCellAnchor>
    <xdr:from>
      <xdr:col>0</xdr:col>
      <xdr:colOff>291353</xdr:colOff>
      <xdr:row>0</xdr:row>
      <xdr:rowOff>179294</xdr:rowOff>
    </xdr:from>
    <xdr:ext cx="1191521" cy="901289"/>
    <xdr:pic>
      <xdr:nvPicPr>
        <xdr:cNvPr id="24" name="Picture 23" descr="oilco">
          <a:extLst>
            <a:ext uri="{FF2B5EF4-FFF2-40B4-BE49-F238E27FC236}">
              <a16:creationId xmlns:a16="http://schemas.microsoft.com/office/drawing/2014/main" id="{407BE7C5-8E3D-4CAF-B2AF-A24980ABAAEF}"/>
            </a:ext>
          </a:extLst>
        </xdr:cNvPr>
        <xdr:cNvPicPr/>
      </xdr:nvPicPr>
      <xdr:blipFill>
        <a:blip xmlns:r="http://schemas.openxmlformats.org/officeDocument/2006/relationships" r:embed="rId32" cstate="print"/>
        <a:srcRect/>
        <a:stretch>
          <a:fillRect/>
        </a:stretch>
      </xdr:blipFill>
      <xdr:spPr bwMode="auto">
        <a:xfrm>
          <a:off x="291353" y="874417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27" name="Picture 26">
          <a:extLst>
            <a:ext uri="{FF2B5EF4-FFF2-40B4-BE49-F238E27FC236}">
              <a16:creationId xmlns:a16="http://schemas.microsoft.com/office/drawing/2014/main" id="{B4C1262B-87C8-43FB-A1D2-C331B560CC8C}"/>
            </a:ext>
          </a:extLst>
        </xdr:cNvPr>
        <xdr:cNvPicPr>
          <a:picLocks noChangeAspect="1"/>
        </xdr:cNvPicPr>
      </xdr:nvPicPr>
      <xdr:blipFill rotWithShape="1">
        <a:blip xmlns:r="http://schemas.openxmlformats.org/officeDocument/2006/relationships" r:embed="rId33"/>
        <a:srcRect b="49004"/>
        <a:stretch/>
      </xdr:blipFill>
      <xdr:spPr>
        <a:xfrm>
          <a:off x="6856534" y="871436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30" name="Picture 29">
          <a:extLst>
            <a:ext uri="{FF2B5EF4-FFF2-40B4-BE49-F238E27FC236}">
              <a16:creationId xmlns:a16="http://schemas.microsoft.com/office/drawing/2014/main" id="{CEBA973A-E416-4957-8194-06647BF85EA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303771" y="9242500"/>
          <a:ext cx="525107" cy="345410"/>
        </a:xfrm>
        <a:prstGeom prst="rect">
          <a:avLst/>
        </a:prstGeom>
        <a:noFill/>
        <a:ln>
          <a:noFill/>
        </a:ln>
      </xdr:spPr>
    </xdr:pic>
    <xdr:clientData/>
  </xdr:oneCellAnchor>
  <xdr:oneCellAnchor>
    <xdr:from>
      <xdr:col>0</xdr:col>
      <xdr:colOff>291353</xdr:colOff>
      <xdr:row>56</xdr:row>
      <xdr:rowOff>179294</xdr:rowOff>
    </xdr:from>
    <xdr:ext cx="1191521" cy="901289"/>
    <xdr:pic>
      <xdr:nvPicPr>
        <xdr:cNvPr id="31" name="Picture 30" descr="oilco">
          <a:extLst>
            <a:ext uri="{FF2B5EF4-FFF2-40B4-BE49-F238E27FC236}">
              <a16:creationId xmlns:a16="http://schemas.microsoft.com/office/drawing/2014/main" id="{6002C891-382E-48CC-A9B4-FFDB642CC981}"/>
            </a:ext>
          </a:extLst>
        </xdr:cNvPr>
        <xdr:cNvPicPr/>
      </xdr:nvPicPr>
      <xdr:blipFill>
        <a:blip xmlns:r="http://schemas.openxmlformats.org/officeDocument/2006/relationships" r:embed="rId32"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56</xdr:row>
      <xdr:rowOff>149485</xdr:rowOff>
    </xdr:from>
    <xdr:ext cx="1526682" cy="519281"/>
    <xdr:pic>
      <xdr:nvPicPr>
        <xdr:cNvPr id="32" name="Picture 31">
          <a:extLst>
            <a:ext uri="{FF2B5EF4-FFF2-40B4-BE49-F238E27FC236}">
              <a16:creationId xmlns:a16="http://schemas.microsoft.com/office/drawing/2014/main" id="{E4369855-E81B-4474-AA47-7C4B15B87E42}"/>
            </a:ext>
          </a:extLst>
        </xdr:cNvPr>
        <xdr:cNvPicPr>
          <a:picLocks noChangeAspect="1"/>
        </xdr:cNvPicPr>
      </xdr:nvPicPr>
      <xdr:blipFill rotWithShape="1">
        <a:blip xmlns:r="http://schemas.openxmlformats.org/officeDocument/2006/relationships" r:embed="rId33"/>
        <a:srcRect b="49004"/>
        <a:stretch/>
      </xdr:blipFill>
      <xdr:spPr>
        <a:xfrm>
          <a:off x="6978454" y="149485"/>
          <a:ext cx="1526682" cy="519281"/>
        </a:xfrm>
        <a:prstGeom prst="rect">
          <a:avLst/>
        </a:prstGeom>
      </xdr:spPr>
    </xdr:pic>
    <xdr:clientData/>
  </xdr:oneCellAnchor>
  <xdr:oneCellAnchor>
    <xdr:from>
      <xdr:col>18</xdr:col>
      <xdr:colOff>308611</xdr:colOff>
      <xdr:row>59</xdr:row>
      <xdr:rowOff>121360</xdr:rowOff>
    </xdr:from>
    <xdr:ext cx="525107" cy="345410"/>
    <xdr:pic>
      <xdr:nvPicPr>
        <xdr:cNvPr id="45" name="Picture 44">
          <a:extLst>
            <a:ext uri="{FF2B5EF4-FFF2-40B4-BE49-F238E27FC236}">
              <a16:creationId xmlns:a16="http://schemas.microsoft.com/office/drawing/2014/main" id="{EE96003C-32AB-4432-A3C0-AB2F6DB67E8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677620"/>
          <a:ext cx="525107" cy="345410"/>
        </a:xfrm>
        <a:prstGeom prst="rect">
          <a:avLst/>
        </a:prstGeom>
        <a:noFill/>
        <a:ln>
          <a:noFill/>
        </a:ln>
      </xdr:spPr>
    </xdr:pic>
    <xdr:clientData/>
  </xdr:oneCellAnchor>
  <xdr:oneCellAnchor>
    <xdr:from>
      <xdr:col>0</xdr:col>
      <xdr:colOff>291353</xdr:colOff>
      <xdr:row>106</xdr:row>
      <xdr:rowOff>179294</xdr:rowOff>
    </xdr:from>
    <xdr:ext cx="1191521" cy="901289"/>
    <xdr:pic>
      <xdr:nvPicPr>
        <xdr:cNvPr id="48" name="Picture 47" descr="oilco">
          <a:extLst>
            <a:ext uri="{FF2B5EF4-FFF2-40B4-BE49-F238E27FC236}">
              <a16:creationId xmlns:a16="http://schemas.microsoft.com/office/drawing/2014/main" id="{543547AF-B0D3-47B7-971A-FD6EDF5F528B}"/>
            </a:ext>
          </a:extLst>
        </xdr:cNvPr>
        <xdr:cNvPicPr/>
      </xdr:nvPicPr>
      <xdr:blipFill>
        <a:blip xmlns:r="http://schemas.openxmlformats.org/officeDocument/2006/relationships" r:embed="rId32" cstate="print"/>
        <a:srcRect/>
        <a:stretch>
          <a:fillRect/>
        </a:stretch>
      </xdr:blipFill>
      <xdr:spPr bwMode="auto">
        <a:xfrm>
          <a:off x="291353" y="10694894"/>
          <a:ext cx="1191521" cy="901289"/>
        </a:xfrm>
        <a:prstGeom prst="rect">
          <a:avLst/>
        </a:prstGeom>
        <a:noFill/>
        <a:ln w="9525">
          <a:noFill/>
          <a:miter lim="800000"/>
          <a:headEnd/>
          <a:tailEnd/>
        </a:ln>
      </xdr:spPr>
    </xdr:pic>
    <xdr:clientData/>
  </xdr:oneCellAnchor>
  <xdr:oneCellAnchor>
    <xdr:from>
      <xdr:col>17</xdr:col>
      <xdr:colOff>249994</xdr:colOff>
      <xdr:row>106</xdr:row>
      <xdr:rowOff>149485</xdr:rowOff>
    </xdr:from>
    <xdr:ext cx="1526682" cy="519281"/>
    <xdr:pic>
      <xdr:nvPicPr>
        <xdr:cNvPr id="49" name="Picture 48">
          <a:extLst>
            <a:ext uri="{FF2B5EF4-FFF2-40B4-BE49-F238E27FC236}">
              <a16:creationId xmlns:a16="http://schemas.microsoft.com/office/drawing/2014/main" id="{2A4163BB-9B3A-4A2E-A840-0A3A5EDB5531}"/>
            </a:ext>
          </a:extLst>
        </xdr:cNvPr>
        <xdr:cNvPicPr>
          <a:picLocks noChangeAspect="1"/>
        </xdr:cNvPicPr>
      </xdr:nvPicPr>
      <xdr:blipFill rotWithShape="1">
        <a:blip xmlns:r="http://schemas.openxmlformats.org/officeDocument/2006/relationships" r:embed="rId33"/>
        <a:srcRect b="49004"/>
        <a:stretch/>
      </xdr:blipFill>
      <xdr:spPr>
        <a:xfrm>
          <a:off x="6978454" y="10665085"/>
          <a:ext cx="1526682" cy="519281"/>
        </a:xfrm>
        <a:prstGeom prst="rect">
          <a:avLst/>
        </a:prstGeom>
      </xdr:spPr>
    </xdr:pic>
    <xdr:clientData/>
  </xdr:oneCellAnchor>
  <xdr:oneCellAnchor>
    <xdr:from>
      <xdr:col>18</xdr:col>
      <xdr:colOff>308611</xdr:colOff>
      <xdr:row>109</xdr:row>
      <xdr:rowOff>121360</xdr:rowOff>
    </xdr:from>
    <xdr:ext cx="525107" cy="345410"/>
    <xdr:pic>
      <xdr:nvPicPr>
        <xdr:cNvPr id="52" name="Picture 51">
          <a:extLst>
            <a:ext uri="{FF2B5EF4-FFF2-40B4-BE49-F238E27FC236}">
              <a16:creationId xmlns:a16="http://schemas.microsoft.com/office/drawing/2014/main" id="{64FC271B-4E66-4348-9737-0DBD7924C14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11200840"/>
          <a:ext cx="525107" cy="345410"/>
        </a:xfrm>
        <a:prstGeom prst="rect">
          <a:avLst/>
        </a:prstGeom>
        <a:noFill/>
        <a:ln>
          <a:noFill/>
        </a:ln>
      </xdr:spPr>
    </xdr:pic>
    <xdr:clientData/>
  </xdr:oneCellAnchor>
  <xdr:oneCellAnchor>
    <xdr:from>
      <xdr:col>0</xdr:col>
      <xdr:colOff>291353</xdr:colOff>
      <xdr:row>150</xdr:row>
      <xdr:rowOff>179294</xdr:rowOff>
    </xdr:from>
    <xdr:ext cx="1191521" cy="901289"/>
    <xdr:pic>
      <xdr:nvPicPr>
        <xdr:cNvPr id="65" name="Picture 64" descr="oilco">
          <a:extLst>
            <a:ext uri="{FF2B5EF4-FFF2-40B4-BE49-F238E27FC236}">
              <a16:creationId xmlns:a16="http://schemas.microsoft.com/office/drawing/2014/main" id="{B1FBD9C7-BD36-42A6-BFB4-D0A289FD1234}"/>
            </a:ext>
          </a:extLst>
        </xdr:cNvPr>
        <xdr:cNvPicPr/>
      </xdr:nvPicPr>
      <xdr:blipFill>
        <a:blip xmlns:r="http://schemas.openxmlformats.org/officeDocument/2006/relationships" r:embed="rId32" cstate="print"/>
        <a:srcRect/>
        <a:stretch>
          <a:fillRect/>
        </a:stretch>
      </xdr:blipFill>
      <xdr:spPr bwMode="auto">
        <a:xfrm>
          <a:off x="291353" y="19953194"/>
          <a:ext cx="1191521" cy="901289"/>
        </a:xfrm>
        <a:prstGeom prst="rect">
          <a:avLst/>
        </a:prstGeom>
        <a:noFill/>
        <a:ln w="9525">
          <a:noFill/>
          <a:miter lim="800000"/>
          <a:headEnd/>
          <a:tailEnd/>
        </a:ln>
      </xdr:spPr>
    </xdr:pic>
    <xdr:clientData/>
  </xdr:oneCellAnchor>
  <xdr:oneCellAnchor>
    <xdr:from>
      <xdr:col>17</xdr:col>
      <xdr:colOff>249994</xdr:colOff>
      <xdr:row>150</xdr:row>
      <xdr:rowOff>149485</xdr:rowOff>
    </xdr:from>
    <xdr:ext cx="1526682" cy="519281"/>
    <xdr:pic>
      <xdr:nvPicPr>
        <xdr:cNvPr id="66" name="Picture 65">
          <a:extLst>
            <a:ext uri="{FF2B5EF4-FFF2-40B4-BE49-F238E27FC236}">
              <a16:creationId xmlns:a16="http://schemas.microsoft.com/office/drawing/2014/main" id="{7567EBC5-1FAD-47E2-BAAC-E2F5F3004A3A}"/>
            </a:ext>
          </a:extLst>
        </xdr:cNvPr>
        <xdr:cNvPicPr>
          <a:picLocks noChangeAspect="1"/>
        </xdr:cNvPicPr>
      </xdr:nvPicPr>
      <xdr:blipFill rotWithShape="1">
        <a:blip xmlns:r="http://schemas.openxmlformats.org/officeDocument/2006/relationships" r:embed="rId33"/>
        <a:srcRect b="49004"/>
        <a:stretch/>
      </xdr:blipFill>
      <xdr:spPr>
        <a:xfrm>
          <a:off x="6978454" y="19923385"/>
          <a:ext cx="1526682" cy="519281"/>
        </a:xfrm>
        <a:prstGeom prst="rect">
          <a:avLst/>
        </a:prstGeom>
      </xdr:spPr>
    </xdr:pic>
    <xdr:clientData/>
  </xdr:oneCellAnchor>
  <xdr:oneCellAnchor>
    <xdr:from>
      <xdr:col>18</xdr:col>
      <xdr:colOff>308611</xdr:colOff>
      <xdr:row>153</xdr:row>
      <xdr:rowOff>121360</xdr:rowOff>
    </xdr:from>
    <xdr:ext cx="525107" cy="345410"/>
    <xdr:pic>
      <xdr:nvPicPr>
        <xdr:cNvPr id="67" name="Picture 66">
          <a:extLst>
            <a:ext uri="{FF2B5EF4-FFF2-40B4-BE49-F238E27FC236}">
              <a16:creationId xmlns:a16="http://schemas.microsoft.com/office/drawing/2014/main" id="{A0FAF7A5-7619-44E1-B26C-8287C02F556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20451520"/>
          <a:ext cx="525107" cy="345410"/>
        </a:xfrm>
        <a:prstGeom prst="rect">
          <a:avLst/>
        </a:prstGeom>
        <a:noFill/>
        <a:ln>
          <a:noFill/>
        </a:ln>
      </xdr:spPr>
    </xdr:pic>
    <xdr:clientData/>
  </xdr:oneCellAnchor>
  <xdr:oneCellAnchor>
    <xdr:from>
      <xdr:col>0</xdr:col>
      <xdr:colOff>291353</xdr:colOff>
      <xdr:row>203</xdr:row>
      <xdr:rowOff>179294</xdr:rowOff>
    </xdr:from>
    <xdr:ext cx="1191521" cy="901289"/>
    <xdr:pic>
      <xdr:nvPicPr>
        <xdr:cNvPr id="68" name="Picture 67" descr="oilco">
          <a:extLst>
            <a:ext uri="{FF2B5EF4-FFF2-40B4-BE49-F238E27FC236}">
              <a16:creationId xmlns:a16="http://schemas.microsoft.com/office/drawing/2014/main" id="{6199E4E2-C4B4-414F-AFB1-521C97E0B3FF}"/>
            </a:ext>
          </a:extLst>
        </xdr:cNvPr>
        <xdr:cNvPicPr/>
      </xdr:nvPicPr>
      <xdr:blipFill>
        <a:blip xmlns:r="http://schemas.openxmlformats.org/officeDocument/2006/relationships" r:embed="rId32" cstate="print"/>
        <a:srcRect/>
        <a:stretch>
          <a:fillRect/>
        </a:stretch>
      </xdr:blipFill>
      <xdr:spPr bwMode="auto">
        <a:xfrm>
          <a:off x="291353" y="27885614"/>
          <a:ext cx="1191521" cy="901289"/>
        </a:xfrm>
        <a:prstGeom prst="rect">
          <a:avLst/>
        </a:prstGeom>
        <a:noFill/>
        <a:ln w="9525">
          <a:noFill/>
          <a:miter lim="800000"/>
          <a:headEnd/>
          <a:tailEnd/>
        </a:ln>
      </xdr:spPr>
    </xdr:pic>
    <xdr:clientData/>
  </xdr:oneCellAnchor>
  <xdr:oneCellAnchor>
    <xdr:from>
      <xdr:col>17</xdr:col>
      <xdr:colOff>249994</xdr:colOff>
      <xdr:row>203</xdr:row>
      <xdr:rowOff>149485</xdr:rowOff>
    </xdr:from>
    <xdr:ext cx="1526682" cy="519281"/>
    <xdr:pic>
      <xdr:nvPicPr>
        <xdr:cNvPr id="69" name="Picture 68">
          <a:extLst>
            <a:ext uri="{FF2B5EF4-FFF2-40B4-BE49-F238E27FC236}">
              <a16:creationId xmlns:a16="http://schemas.microsoft.com/office/drawing/2014/main" id="{584AB89C-295F-428A-BAF6-4481A6C0940C}"/>
            </a:ext>
          </a:extLst>
        </xdr:cNvPr>
        <xdr:cNvPicPr>
          <a:picLocks noChangeAspect="1"/>
        </xdr:cNvPicPr>
      </xdr:nvPicPr>
      <xdr:blipFill rotWithShape="1">
        <a:blip xmlns:r="http://schemas.openxmlformats.org/officeDocument/2006/relationships" r:embed="rId33"/>
        <a:srcRect b="49004"/>
        <a:stretch/>
      </xdr:blipFill>
      <xdr:spPr>
        <a:xfrm>
          <a:off x="6978454" y="27855805"/>
          <a:ext cx="1526682" cy="519281"/>
        </a:xfrm>
        <a:prstGeom prst="rect">
          <a:avLst/>
        </a:prstGeom>
      </xdr:spPr>
    </xdr:pic>
    <xdr:clientData/>
  </xdr:oneCellAnchor>
  <xdr:oneCellAnchor>
    <xdr:from>
      <xdr:col>18</xdr:col>
      <xdr:colOff>308611</xdr:colOff>
      <xdr:row>206</xdr:row>
      <xdr:rowOff>121360</xdr:rowOff>
    </xdr:from>
    <xdr:ext cx="525107" cy="345410"/>
    <xdr:pic>
      <xdr:nvPicPr>
        <xdr:cNvPr id="70" name="Picture 69">
          <a:extLst>
            <a:ext uri="{FF2B5EF4-FFF2-40B4-BE49-F238E27FC236}">
              <a16:creationId xmlns:a16="http://schemas.microsoft.com/office/drawing/2014/main" id="{7F8C7838-57A4-4A4F-ADFD-C2B42DD0BC2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28383940"/>
          <a:ext cx="525107" cy="345410"/>
        </a:xfrm>
        <a:prstGeom prst="rect">
          <a:avLst/>
        </a:prstGeom>
        <a:noFill/>
        <a:ln>
          <a:noFill/>
        </a:ln>
      </xdr:spPr>
    </xdr:pic>
    <xdr:clientData/>
  </xdr:oneCellAnchor>
  <xdr:oneCellAnchor>
    <xdr:from>
      <xdr:col>0</xdr:col>
      <xdr:colOff>291353</xdr:colOff>
      <xdr:row>258</xdr:row>
      <xdr:rowOff>179294</xdr:rowOff>
    </xdr:from>
    <xdr:ext cx="1191521" cy="901289"/>
    <xdr:pic>
      <xdr:nvPicPr>
        <xdr:cNvPr id="71" name="Picture 70" descr="oilco">
          <a:extLst>
            <a:ext uri="{FF2B5EF4-FFF2-40B4-BE49-F238E27FC236}">
              <a16:creationId xmlns:a16="http://schemas.microsoft.com/office/drawing/2014/main" id="{CF6C514A-B99B-498E-A8C4-331C75B91D64}"/>
            </a:ext>
          </a:extLst>
        </xdr:cNvPr>
        <xdr:cNvPicPr/>
      </xdr:nvPicPr>
      <xdr:blipFill>
        <a:blip xmlns:r="http://schemas.openxmlformats.org/officeDocument/2006/relationships" r:embed="rId32" cstate="print"/>
        <a:srcRect/>
        <a:stretch>
          <a:fillRect/>
        </a:stretch>
      </xdr:blipFill>
      <xdr:spPr bwMode="auto">
        <a:xfrm>
          <a:off x="291353" y="37639214"/>
          <a:ext cx="1191521" cy="901289"/>
        </a:xfrm>
        <a:prstGeom prst="rect">
          <a:avLst/>
        </a:prstGeom>
        <a:noFill/>
        <a:ln w="9525">
          <a:noFill/>
          <a:miter lim="800000"/>
          <a:headEnd/>
          <a:tailEnd/>
        </a:ln>
      </xdr:spPr>
    </xdr:pic>
    <xdr:clientData/>
  </xdr:oneCellAnchor>
  <xdr:oneCellAnchor>
    <xdr:from>
      <xdr:col>17</xdr:col>
      <xdr:colOff>249994</xdr:colOff>
      <xdr:row>258</xdr:row>
      <xdr:rowOff>149485</xdr:rowOff>
    </xdr:from>
    <xdr:ext cx="1526682" cy="519281"/>
    <xdr:pic>
      <xdr:nvPicPr>
        <xdr:cNvPr id="72" name="Picture 71">
          <a:extLst>
            <a:ext uri="{FF2B5EF4-FFF2-40B4-BE49-F238E27FC236}">
              <a16:creationId xmlns:a16="http://schemas.microsoft.com/office/drawing/2014/main" id="{4E4D0F4B-FD53-41A6-9411-A144B66092A9}"/>
            </a:ext>
          </a:extLst>
        </xdr:cNvPr>
        <xdr:cNvPicPr>
          <a:picLocks noChangeAspect="1"/>
        </xdr:cNvPicPr>
      </xdr:nvPicPr>
      <xdr:blipFill rotWithShape="1">
        <a:blip xmlns:r="http://schemas.openxmlformats.org/officeDocument/2006/relationships" r:embed="rId33"/>
        <a:srcRect b="49004"/>
        <a:stretch/>
      </xdr:blipFill>
      <xdr:spPr>
        <a:xfrm>
          <a:off x="6978454" y="37609405"/>
          <a:ext cx="1526682" cy="519281"/>
        </a:xfrm>
        <a:prstGeom prst="rect">
          <a:avLst/>
        </a:prstGeom>
      </xdr:spPr>
    </xdr:pic>
    <xdr:clientData/>
  </xdr:oneCellAnchor>
  <xdr:oneCellAnchor>
    <xdr:from>
      <xdr:col>18</xdr:col>
      <xdr:colOff>308611</xdr:colOff>
      <xdr:row>261</xdr:row>
      <xdr:rowOff>121360</xdr:rowOff>
    </xdr:from>
    <xdr:ext cx="525107" cy="345410"/>
    <xdr:pic>
      <xdr:nvPicPr>
        <xdr:cNvPr id="73" name="Picture 72">
          <a:extLst>
            <a:ext uri="{FF2B5EF4-FFF2-40B4-BE49-F238E27FC236}">
              <a16:creationId xmlns:a16="http://schemas.microsoft.com/office/drawing/2014/main" id="{70AE8757-B93A-4CBA-83B0-5ED7369D2D6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38137540"/>
          <a:ext cx="525107" cy="345410"/>
        </a:xfrm>
        <a:prstGeom prst="rect">
          <a:avLst/>
        </a:prstGeom>
        <a:noFill/>
        <a:ln>
          <a:noFill/>
        </a:ln>
      </xdr:spPr>
    </xdr:pic>
    <xdr:clientData/>
  </xdr:oneCellAnchor>
  <xdr:oneCellAnchor>
    <xdr:from>
      <xdr:col>0</xdr:col>
      <xdr:colOff>291353</xdr:colOff>
      <xdr:row>305</xdr:row>
      <xdr:rowOff>179294</xdr:rowOff>
    </xdr:from>
    <xdr:ext cx="1191521" cy="901289"/>
    <xdr:pic>
      <xdr:nvPicPr>
        <xdr:cNvPr id="74" name="Picture 73" descr="oilco">
          <a:extLst>
            <a:ext uri="{FF2B5EF4-FFF2-40B4-BE49-F238E27FC236}">
              <a16:creationId xmlns:a16="http://schemas.microsoft.com/office/drawing/2014/main" id="{F3F57E09-7E8F-4A73-9124-E3EE8381101E}"/>
            </a:ext>
          </a:extLst>
        </xdr:cNvPr>
        <xdr:cNvPicPr/>
      </xdr:nvPicPr>
      <xdr:blipFill>
        <a:blip xmlns:r="http://schemas.openxmlformats.org/officeDocument/2006/relationships" r:embed="rId32" cstate="print"/>
        <a:srcRect/>
        <a:stretch>
          <a:fillRect/>
        </a:stretch>
      </xdr:blipFill>
      <xdr:spPr bwMode="auto">
        <a:xfrm>
          <a:off x="291353" y="47926214"/>
          <a:ext cx="1191521" cy="901289"/>
        </a:xfrm>
        <a:prstGeom prst="rect">
          <a:avLst/>
        </a:prstGeom>
        <a:noFill/>
        <a:ln w="9525">
          <a:noFill/>
          <a:miter lim="800000"/>
          <a:headEnd/>
          <a:tailEnd/>
        </a:ln>
      </xdr:spPr>
    </xdr:pic>
    <xdr:clientData/>
  </xdr:oneCellAnchor>
  <xdr:oneCellAnchor>
    <xdr:from>
      <xdr:col>17</xdr:col>
      <xdr:colOff>249994</xdr:colOff>
      <xdr:row>305</xdr:row>
      <xdr:rowOff>149485</xdr:rowOff>
    </xdr:from>
    <xdr:ext cx="1526682" cy="519281"/>
    <xdr:pic>
      <xdr:nvPicPr>
        <xdr:cNvPr id="75" name="Picture 74">
          <a:extLst>
            <a:ext uri="{FF2B5EF4-FFF2-40B4-BE49-F238E27FC236}">
              <a16:creationId xmlns:a16="http://schemas.microsoft.com/office/drawing/2014/main" id="{CB9B9311-FCC9-4A79-B00A-2326382CD3CC}"/>
            </a:ext>
          </a:extLst>
        </xdr:cNvPr>
        <xdr:cNvPicPr>
          <a:picLocks noChangeAspect="1"/>
        </xdr:cNvPicPr>
      </xdr:nvPicPr>
      <xdr:blipFill rotWithShape="1">
        <a:blip xmlns:r="http://schemas.openxmlformats.org/officeDocument/2006/relationships" r:embed="rId33"/>
        <a:srcRect b="49004"/>
        <a:stretch/>
      </xdr:blipFill>
      <xdr:spPr>
        <a:xfrm>
          <a:off x="6978454" y="47896405"/>
          <a:ext cx="1526682" cy="519281"/>
        </a:xfrm>
        <a:prstGeom prst="rect">
          <a:avLst/>
        </a:prstGeom>
      </xdr:spPr>
    </xdr:pic>
    <xdr:clientData/>
  </xdr:oneCellAnchor>
  <xdr:oneCellAnchor>
    <xdr:from>
      <xdr:col>18</xdr:col>
      <xdr:colOff>308611</xdr:colOff>
      <xdr:row>308</xdr:row>
      <xdr:rowOff>121360</xdr:rowOff>
    </xdr:from>
    <xdr:ext cx="525107" cy="345410"/>
    <xdr:pic>
      <xdr:nvPicPr>
        <xdr:cNvPr id="76" name="Picture 75">
          <a:extLst>
            <a:ext uri="{FF2B5EF4-FFF2-40B4-BE49-F238E27FC236}">
              <a16:creationId xmlns:a16="http://schemas.microsoft.com/office/drawing/2014/main" id="{71149A47-E801-4959-9883-3D321D720E5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48424540"/>
          <a:ext cx="525107" cy="345410"/>
        </a:xfrm>
        <a:prstGeom prst="rect">
          <a:avLst/>
        </a:prstGeom>
        <a:noFill/>
        <a:ln>
          <a:noFill/>
        </a:ln>
      </xdr:spPr>
    </xdr:pic>
    <xdr:clientData/>
  </xdr:oneCellAnchor>
  <xdr:oneCellAnchor>
    <xdr:from>
      <xdr:col>0</xdr:col>
      <xdr:colOff>291353</xdr:colOff>
      <xdr:row>363</xdr:row>
      <xdr:rowOff>179294</xdr:rowOff>
    </xdr:from>
    <xdr:ext cx="1191521" cy="901289"/>
    <xdr:pic>
      <xdr:nvPicPr>
        <xdr:cNvPr id="77" name="Picture 76" descr="oilco">
          <a:extLst>
            <a:ext uri="{FF2B5EF4-FFF2-40B4-BE49-F238E27FC236}">
              <a16:creationId xmlns:a16="http://schemas.microsoft.com/office/drawing/2014/main" id="{5F688C12-3DE0-4ECC-8BAA-274A51653536}"/>
            </a:ext>
          </a:extLst>
        </xdr:cNvPr>
        <xdr:cNvPicPr/>
      </xdr:nvPicPr>
      <xdr:blipFill>
        <a:blip xmlns:r="http://schemas.openxmlformats.org/officeDocument/2006/relationships" r:embed="rId32" cstate="print"/>
        <a:srcRect/>
        <a:stretch>
          <a:fillRect/>
        </a:stretch>
      </xdr:blipFill>
      <xdr:spPr bwMode="auto">
        <a:xfrm>
          <a:off x="291353" y="56940674"/>
          <a:ext cx="1191521" cy="901289"/>
        </a:xfrm>
        <a:prstGeom prst="rect">
          <a:avLst/>
        </a:prstGeom>
        <a:noFill/>
        <a:ln w="9525">
          <a:noFill/>
          <a:miter lim="800000"/>
          <a:headEnd/>
          <a:tailEnd/>
        </a:ln>
      </xdr:spPr>
    </xdr:pic>
    <xdr:clientData/>
  </xdr:oneCellAnchor>
  <xdr:oneCellAnchor>
    <xdr:from>
      <xdr:col>17</xdr:col>
      <xdr:colOff>249994</xdr:colOff>
      <xdr:row>363</xdr:row>
      <xdr:rowOff>149485</xdr:rowOff>
    </xdr:from>
    <xdr:ext cx="1526682" cy="519281"/>
    <xdr:pic>
      <xdr:nvPicPr>
        <xdr:cNvPr id="78" name="Picture 77">
          <a:extLst>
            <a:ext uri="{FF2B5EF4-FFF2-40B4-BE49-F238E27FC236}">
              <a16:creationId xmlns:a16="http://schemas.microsoft.com/office/drawing/2014/main" id="{94F345D5-DEFA-4C10-8DC5-8D6E608EA1EA}"/>
            </a:ext>
          </a:extLst>
        </xdr:cNvPr>
        <xdr:cNvPicPr>
          <a:picLocks noChangeAspect="1"/>
        </xdr:cNvPicPr>
      </xdr:nvPicPr>
      <xdr:blipFill rotWithShape="1">
        <a:blip xmlns:r="http://schemas.openxmlformats.org/officeDocument/2006/relationships" r:embed="rId33"/>
        <a:srcRect b="49004"/>
        <a:stretch/>
      </xdr:blipFill>
      <xdr:spPr>
        <a:xfrm>
          <a:off x="6978454" y="56910865"/>
          <a:ext cx="1526682" cy="519281"/>
        </a:xfrm>
        <a:prstGeom prst="rect">
          <a:avLst/>
        </a:prstGeom>
      </xdr:spPr>
    </xdr:pic>
    <xdr:clientData/>
  </xdr:oneCellAnchor>
  <xdr:oneCellAnchor>
    <xdr:from>
      <xdr:col>18</xdr:col>
      <xdr:colOff>308611</xdr:colOff>
      <xdr:row>366</xdr:row>
      <xdr:rowOff>121360</xdr:rowOff>
    </xdr:from>
    <xdr:ext cx="525107" cy="345410"/>
    <xdr:pic>
      <xdr:nvPicPr>
        <xdr:cNvPr id="81" name="Picture 80">
          <a:extLst>
            <a:ext uri="{FF2B5EF4-FFF2-40B4-BE49-F238E27FC236}">
              <a16:creationId xmlns:a16="http://schemas.microsoft.com/office/drawing/2014/main" id="{40031CD3-64BD-43F6-A1CB-F5422BE7957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57439000"/>
          <a:ext cx="525107" cy="345410"/>
        </a:xfrm>
        <a:prstGeom prst="rect">
          <a:avLst/>
        </a:prstGeom>
        <a:noFill/>
        <a:ln>
          <a:noFill/>
        </a:ln>
      </xdr:spPr>
    </xdr:pic>
    <xdr:clientData/>
  </xdr:oneCellAnchor>
  <xdr:oneCellAnchor>
    <xdr:from>
      <xdr:col>0</xdr:col>
      <xdr:colOff>291353</xdr:colOff>
      <xdr:row>430</xdr:row>
      <xdr:rowOff>179294</xdr:rowOff>
    </xdr:from>
    <xdr:ext cx="1191521" cy="901289"/>
    <xdr:pic>
      <xdr:nvPicPr>
        <xdr:cNvPr id="82" name="Picture 81" descr="oilco">
          <a:extLst>
            <a:ext uri="{FF2B5EF4-FFF2-40B4-BE49-F238E27FC236}">
              <a16:creationId xmlns:a16="http://schemas.microsoft.com/office/drawing/2014/main" id="{207D2A48-CDD2-4987-8F25-D54569DF0449}"/>
            </a:ext>
          </a:extLst>
        </xdr:cNvPr>
        <xdr:cNvPicPr/>
      </xdr:nvPicPr>
      <xdr:blipFill>
        <a:blip xmlns:r="http://schemas.openxmlformats.org/officeDocument/2006/relationships" r:embed="rId32" cstate="print"/>
        <a:srcRect/>
        <a:stretch>
          <a:fillRect/>
        </a:stretch>
      </xdr:blipFill>
      <xdr:spPr bwMode="auto">
        <a:xfrm>
          <a:off x="291353" y="67601054"/>
          <a:ext cx="1191521" cy="901289"/>
        </a:xfrm>
        <a:prstGeom prst="rect">
          <a:avLst/>
        </a:prstGeom>
        <a:noFill/>
        <a:ln w="9525">
          <a:noFill/>
          <a:miter lim="800000"/>
          <a:headEnd/>
          <a:tailEnd/>
        </a:ln>
      </xdr:spPr>
    </xdr:pic>
    <xdr:clientData/>
  </xdr:oneCellAnchor>
  <xdr:oneCellAnchor>
    <xdr:from>
      <xdr:col>17</xdr:col>
      <xdr:colOff>249994</xdr:colOff>
      <xdr:row>430</xdr:row>
      <xdr:rowOff>149485</xdr:rowOff>
    </xdr:from>
    <xdr:ext cx="1526682" cy="519281"/>
    <xdr:pic>
      <xdr:nvPicPr>
        <xdr:cNvPr id="83" name="Picture 82">
          <a:extLst>
            <a:ext uri="{FF2B5EF4-FFF2-40B4-BE49-F238E27FC236}">
              <a16:creationId xmlns:a16="http://schemas.microsoft.com/office/drawing/2014/main" id="{2F32BC0F-3DA9-4AAF-9F90-1953E909635F}"/>
            </a:ext>
          </a:extLst>
        </xdr:cNvPr>
        <xdr:cNvPicPr>
          <a:picLocks noChangeAspect="1"/>
        </xdr:cNvPicPr>
      </xdr:nvPicPr>
      <xdr:blipFill rotWithShape="1">
        <a:blip xmlns:r="http://schemas.openxmlformats.org/officeDocument/2006/relationships" r:embed="rId33"/>
        <a:srcRect b="49004"/>
        <a:stretch/>
      </xdr:blipFill>
      <xdr:spPr>
        <a:xfrm>
          <a:off x="6978454" y="67571245"/>
          <a:ext cx="1526682" cy="519281"/>
        </a:xfrm>
        <a:prstGeom prst="rect">
          <a:avLst/>
        </a:prstGeom>
      </xdr:spPr>
    </xdr:pic>
    <xdr:clientData/>
  </xdr:oneCellAnchor>
  <xdr:oneCellAnchor>
    <xdr:from>
      <xdr:col>18</xdr:col>
      <xdr:colOff>308611</xdr:colOff>
      <xdr:row>433</xdr:row>
      <xdr:rowOff>121360</xdr:rowOff>
    </xdr:from>
    <xdr:ext cx="525107" cy="345410"/>
    <xdr:pic>
      <xdr:nvPicPr>
        <xdr:cNvPr id="86" name="Picture 85">
          <a:extLst>
            <a:ext uri="{FF2B5EF4-FFF2-40B4-BE49-F238E27FC236}">
              <a16:creationId xmlns:a16="http://schemas.microsoft.com/office/drawing/2014/main" id="{442E292C-E0F4-4F1D-9012-B522D175D73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425691" y="68099380"/>
          <a:ext cx="525107" cy="345410"/>
        </a:xfrm>
        <a:prstGeom prst="rect">
          <a:avLst/>
        </a:prstGeom>
        <a:noFill/>
        <a:ln>
          <a:noFill/>
        </a:ln>
      </xdr:spPr>
    </xdr:pic>
    <xdr:clientData/>
  </xdr:oneCellAnchor>
  <xdr:twoCellAnchor>
    <xdr:from>
      <xdr:col>20</xdr:col>
      <xdr:colOff>34957</xdr:colOff>
      <xdr:row>31</xdr:row>
      <xdr:rowOff>0</xdr:rowOff>
    </xdr:from>
    <xdr:to>
      <xdr:col>21</xdr:col>
      <xdr:colOff>187358</xdr:colOff>
      <xdr:row>33</xdr:row>
      <xdr:rowOff>19050</xdr:rowOff>
    </xdr:to>
    <xdr:sp macro="" textlink="">
      <xdr:nvSpPr>
        <xdr:cNvPr id="87" name="Isosceles Triangle 86">
          <a:extLst>
            <a:ext uri="{FF2B5EF4-FFF2-40B4-BE49-F238E27FC236}">
              <a16:creationId xmlns:a16="http://schemas.microsoft.com/office/drawing/2014/main" id="{00000000-0008-0000-0900-000057000000}"/>
            </a:ext>
          </a:extLst>
        </xdr:cNvPr>
        <xdr:cNvSpPr/>
      </xdr:nvSpPr>
      <xdr:spPr>
        <a:xfrm>
          <a:off x="7769257" y="613410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20</xdr:col>
      <xdr:colOff>0</xdr:colOff>
      <xdr:row>31</xdr:row>
      <xdr:rowOff>137001</xdr:rowOff>
    </xdr:from>
    <xdr:ext cx="635032" cy="264560"/>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900-000058000000}"/>
                </a:ext>
              </a:extLst>
            </xdr:cNvPr>
            <xdr:cNvSpPr txBox="1"/>
          </xdr:nvSpPr>
          <xdr:spPr>
            <a:xfrm>
              <a:off x="7734300" y="6271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88" name="TextBox 87"/>
            <xdr:cNvSpPr txBox="1"/>
          </xdr:nvSpPr>
          <xdr:spPr>
            <a:xfrm>
              <a:off x="7734300" y="6271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18</xdr:col>
      <xdr:colOff>34957</xdr:colOff>
      <xdr:row>375</xdr:row>
      <xdr:rowOff>0</xdr:rowOff>
    </xdr:from>
    <xdr:to>
      <xdr:col>19</xdr:col>
      <xdr:colOff>187358</xdr:colOff>
      <xdr:row>377</xdr:row>
      <xdr:rowOff>19050</xdr:rowOff>
    </xdr:to>
    <xdr:sp macro="" textlink="">
      <xdr:nvSpPr>
        <xdr:cNvPr id="89" name="Isosceles Triangle 88">
          <a:extLst>
            <a:ext uri="{FF2B5EF4-FFF2-40B4-BE49-F238E27FC236}">
              <a16:creationId xmlns:a16="http://schemas.microsoft.com/office/drawing/2014/main" id="{00000000-0008-0000-0900-000059000000}"/>
            </a:ext>
          </a:extLst>
        </xdr:cNvPr>
        <xdr:cNvSpPr/>
      </xdr:nvSpPr>
      <xdr:spPr>
        <a:xfrm>
          <a:off x="7007257" y="7319962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375</xdr:row>
      <xdr:rowOff>137001</xdr:rowOff>
    </xdr:from>
    <xdr:ext cx="635032" cy="264560"/>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6972300" y="733366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90" name="TextBox 89"/>
            <xdr:cNvSpPr txBox="1"/>
          </xdr:nvSpPr>
          <xdr:spPr>
            <a:xfrm>
              <a:off x="6972300" y="733366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314</xdr:row>
      <xdr:rowOff>0</xdr:rowOff>
    </xdr:from>
    <xdr:to>
      <xdr:col>20</xdr:col>
      <xdr:colOff>187358</xdr:colOff>
      <xdr:row>316</xdr:row>
      <xdr:rowOff>19050</xdr:rowOff>
    </xdr:to>
    <xdr:sp macro="" textlink="">
      <xdr:nvSpPr>
        <xdr:cNvPr id="91" name="Isosceles Triangle 90">
          <a:extLst>
            <a:ext uri="{FF2B5EF4-FFF2-40B4-BE49-F238E27FC236}">
              <a16:creationId xmlns:a16="http://schemas.microsoft.com/office/drawing/2014/main" id="{00000000-0008-0000-0900-00005B000000}"/>
            </a:ext>
          </a:extLst>
        </xdr:cNvPr>
        <xdr:cNvSpPr/>
      </xdr:nvSpPr>
      <xdr:spPr>
        <a:xfrm>
          <a:off x="7388257" y="612552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314</xdr:row>
      <xdr:rowOff>137001</xdr:rowOff>
    </xdr:from>
    <xdr:ext cx="635032" cy="264560"/>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00000000-0008-0000-0900-00005C000000}"/>
                </a:ext>
              </a:extLst>
            </xdr:cNvPr>
            <xdr:cNvSpPr txBox="1"/>
          </xdr:nvSpPr>
          <xdr:spPr>
            <a:xfrm>
              <a:off x="7353300" y="613922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92" name="TextBox 91"/>
            <xdr:cNvSpPr txBox="1"/>
          </xdr:nvSpPr>
          <xdr:spPr>
            <a:xfrm>
              <a:off x="7353300" y="613922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267</xdr:row>
      <xdr:rowOff>0</xdr:rowOff>
    </xdr:from>
    <xdr:to>
      <xdr:col>20</xdr:col>
      <xdr:colOff>187358</xdr:colOff>
      <xdr:row>269</xdr:row>
      <xdr:rowOff>19050</xdr:rowOff>
    </xdr:to>
    <xdr:sp macro="" textlink="">
      <xdr:nvSpPr>
        <xdr:cNvPr id="93" name="Isosceles Triangle 92">
          <a:extLst>
            <a:ext uri="{FF2B5EF4-FFF2-40B4-BE49-F238E27FC236}">
              <a16:creationId xmlns:a16="http://schemas.microsoft.com/office/drawing/2014/main" id="{00000000-0008-0000-0900-00005D000000}"/>
            </a:ext>
          </a:extLst>
        </xdr:cNvPr>
        <xdr:cNvSpPr/>
      </xdr:nvSpPr>
      <xdr:spPr>
        <a:xfrm>
          <a:off x="7388257" y="521874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267</xdr:row>
      <xdr:rowOff>137001</xdr:rowOff>
    </xdr:from>
    <xdr:ext cx="635032" cy="264560"/>
    <mc:AlternateContent xmlns:mc="http://schemas.openxmlformats.org/markup-compatibility/2006" xmlns:a14="http://schemas.microsoft.com/office/drawing/2010/main">
      <mc:Choice Requires="a14">
        <xdr:sp macro="" textlink="">
          <xdr:nvSpPr>
            <xdr:cNvPr id="94" name="TextBox 93">
              <a:extLst>
                <a:ext uri="{FF2B5EF4-FFF2-40B4-BE49-F238E27FC236}">
                  <a16:creationId xmlns:a16="http://schemas.microsoft.com/office/drawing/2014/main" id="{00000000-0008-0000-0900-00005E000000}"/>
                </a:ext>
              </a:extLst>
            </xdr:cNvPr>
            <xdr:cNvSpPr txBox="1"/>
          </xdr:nvSpPr>
          <xdr:spPr>
            <a:xfrm>
              <a:off x="7353300" y="523244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94" name="TextBox 93"/>
            <xdr:cNvSpPr txBox="1"/>
          </xdr:nvSpPr>
          <xdr:spPr>
            <a:xfrm>
              <a:off x="7353300" y="523244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14</xdr:col>
      <xdr:colOff>349282</xdr:colOff>
      <xdr:row>158</xdr:row>
      <xdr:rowOff>66675</xdr:rowOff>
    </xdr:from>
    <xdr:to>
      <xdr:col>16</xdr:col>
      <xdr:colOff>120683</xdr:colOff>
      <xdr:row>160</xdr:row>
      <xdr:rowOff>85725</xdr:rowOff>
    </xdr:to>
    <xdr:sp macro="" textlink="">
      <xdr:nvSpPr>
        <xdr:cNvPr id="95" name="Isosceles Triangle 94">
          <a:extLst>
            <a:ext uri="{FF2B5EF4-FFF2-40B4-BE49-F238E27FC236}">
              <a16:creationId xmlns:a16="http://schemas.microsoft.com/office/drawing/2014/main" id="{00000000-0008-0000-0900-00005F000000}"/>
            </a:ext>
          </a:extLst>
        </xdr:cNvPr>
        <xdr:cNvSpPr/>
      </xdr:nvSpPr>
      <xdr:spPr>
        <a:xfrm>
          <a:off x="5797582" y="310419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14</xdr:col>
      <xdr:colOff>314325</xdr:colOff>
      <xdr:row>159</xdr:row>
      <xdr:rowOff>13176</xdr:rowOff>
    </xdr:from>
    <xdr:ext cx="635032" cy="264560"/>
    <mc:AlternateContent xmlns:mc="http://schemas.openxmlformats.org/markup-compatibility/2006" xmlns:a14="http://schemas.microsoft.com/office/drawing/2010/main">
      <mc:Choice Requires="a14">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5762625" y="311789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96" name="TextBox 95"/>
            <xdr:cNvSpPr txBox="1"/>
          </xdr:nvSpPr>
          <xdr:spPr>
            <a:xfrm>
              <a:off x="5762625" y="311789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123</xdr:row>
      <xdr:rowOff>0</xdr:rowOff>
    </xdr:from>
    <xdr:to>
      <xdr:col>20</xdr:col>
      <xdr:colOff>187358</xdr:colOff>
      <xdr:row>125</xdr:row>
      <xdr:rowOff>19050</xdr:rowOff>
    </xdr:to>
    <xdr:sp macro="" textlink="">
      <xdr:nvSpPr>
        <xdr:cNvPr id="97" name="Isosceles Triangle 96">
          <a:extLst>
            <a:ext uri="{FF2B5EF4-FFF2-40B4-BE49-F238E27FC236}">
              <a16:creationId xmlns:a16="http://schemas.microsoft.com/office/drawing/2014/main" id="{00000000-0008-0000-0900-000061000000}"/>
            </a:ext>
          </a:extLst>
        </xdr:cNvPr>
        <xdr:cNvSpPr/>
      </xdr:nvSpPr>
      <xdr:spPr>
        <a:xfrm>
          <a:off x="7388257" y="241077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123</xdr:row>
      <xdr:rowOff>137001</xdr:rowOff>
    </xdr:from>
    <xdr:ext cx="635032" cy="264560"/>
    <mc:AlternateContent xmlns:mc="http://schemas.openxmlformats.org/markup-compatibility/2006" xmlns:a14="http://schemas.microsoft.com/office/drawing/2010/main">
      <mc:Choice Requires="a14">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7353300" y="242447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98" name="TextBox 97"/>
            <xdr:cNvSpPr txBox="1"/>
          </xdr:nvSpPr>
          <xdr:spPr>
            <a:xfrm>
              <a:off x="7353300" y="242447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84</xdr:row>
      <xdr:rowOff>0</xdr:rowOff>
    </xdr:from>
    <xdr:to>
      <xdr:col>20</xdr:col>
      <xdr:colOff>187358</xdr:colOff>
      <xdr:row>86</xdr:row>
      <xdr:rowOff>19050</xdr:rowOff>
    </xdr:to>
    <xdr:sp macro="" textlink="">
      <xdr:nvSpPr>
        <xdr:cNvPr id="101" name="Isosceles Triangle 100">
          <a:extLst>
            <a:ext uri="{FF2B5EF4-FFF2-40B4-BE49-F238E27FC236}">
              <a16:creationId xmlns:a16="http://schemas.microsoft.com/office/drawing/2014/main" id="{00000000-0008-0000-0900-000065000000}"/>
            </a:ext>
          </a:extLst>
        </xdr:cNvPr>
        <xdr:cNvSpPr/>
      </xdr:nvSpPr>
      <xdr:spPr>
        <a:xfrm>
          <a:off x="7388257" y="1645920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84</xdr:row>
      <xdr:rowOff>137001</xdr:rowOff>
    </xdr:from>
    <xdr:ext cx="635032" cy="264560"/>
    <mc:AlternateContent xmlns:mc="http://schemas.openxmlformats.org/markup-compatibility/2006" xmlns:a14="http://schemas.microsoft.com/office/drawing/2010/main">
      <mc:Choice Requires="a14">
        <xdr:sp macro="" textlink="">
          <xdr:nvSpPr>
            <xdr:cNvPr id="102" name="TextBox 101">
              <a:extLst>
                <a:ext uri="{FF2B5EF4-FFF2-40B4-BE49-F238E27FC236}">
                  <a16:creationId xmlns:a16="http://schemas.microsoft.com/office/drawing/2014/main" id="{00000000-0008-0000-0900-000066000000}"/>
                </a:ext>
              </a:extLst>
            </xdr:cNvPr>
            <xdr:cNvSpPr txBox="1"/>
          </xdr:nvSpPr>
          <xdr:spPr>
            <a:xfrm>
              <a:off x="7353300" y="165962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02" name="TextBox 101"/>
            <xdr:cNvSpPr txBox="1"/>
          </xdr:nvSpPr>
          <xdr:spPr>
            <a:xfrm>
              <a:off x="7353300" y="165962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10</xdr:row>
      <xdr:rowOff>9525</xdr:rowOff>
    </xdr:from>
    <xdr:to>
      <xdr:col>14</xdr:col>
      <xdr:colOff>324054</xdr:colOff>
      <xdr:row>15</xdr:row>
      <xdr:rowOff>1694815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15650" t="21053" r="12336" b="24904"/>
        <a:stretch/>
      </xdr:blipFill>
      <xdr:spPr>
        <a:xfrm>
          <a:off x="85725" y="1343025"/>
          <a:ext cx="5562804" cy="2641600"/>
        </a:xfrm>
        <a:prstGeom prst="rect">
          <a:avLst/>
        </a:prstGeom>
      </xdr:spPr>
    </xdr:pic>
    <xdr:clientData/>
  </xdr:twoCellAnchor>
  <xdr:twoCellAnchor>
    <xdr:from>
      <xdr:col>4</xdr:col>
      <xdr:colOff>19050</xdr:colOff>
      <xdr:row>193</xdr:row>
      <xdr:rowOff>123825</xdr:rowOff>
    </xdr:from>
    <xdr:to>
      <xdr:col>9</xdr:col>
      <xdr:colOff>47625</xdr:colOff>
      <xdr:row>196</xdr:row>
      <xdr:rowOff>96738</xdr:rowOff>
    </xdr:to>
    <xdr:pic>
      <xdr:nvPicPr>
        <xdr:cNvPr id="24" name="Picture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8750" y="36976050"/>
          <a:ext cx="1790700" cy="553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197</xdr:row>
      <xdr:rowOff>38100</xdr:rowOff>
    </xdr:from>
    <xdr:to>
      <xdr:col>9</xdr:col>
      <xdr:colOff>314325</xdr:colOff>
      <xdr:row>200</xdr:row>
      <xdr:rowOff>752</xdr:rowOff>
    </xdr:to>
    <xdr:pic>
      <xdr:nvPicPr>
        <xdr:cNvPr id="25" name="Picture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5375" y="37699950"/>
          <a:ext cx="2390775" cy="54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210</xdr:row>
      <xdr:rowOff>0</xdr:rowOff>
    </xdr:from>
    <xdr:to>
      <xdr:col>10</xdr:col>
      <xdr:colOff>190500</xdr:colOff>
      <xdr:row>213</xdr:row>
      <xdr:rowOff>43486</xdr:rowOff>
    </xdr:to>
    <xdr:pic>
      <xdr:nvPicPr>
        <xdr:cNvPr id="26" name="Picture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3125" y="40271700"/>
          <a:ext cx="1571625" cy="624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24</xdr:row>
      <xdr:rowOff>1</xdr:rowOff>
    </xdr:from>
    <xdr:to>
      <xdr:col>15</xdr:col>
      <xdr:colOff>228600</xdr:colOff>
      <xdr:row>37</xdr:row>
      <xdr:rowOff>512781</xdr:rowOff>
    </xdr:to>
    <xdr:pic>
      <xdr:nvPicPr>
        <xdr:cNvPr id="56" name="Picture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4581526"/>
          <a:ext cx="5781675" cy="2985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314326</xdr:colOff>
      <xdr:row>40</xdr:row>
      <xdr:rowOff>9526</xdr:rowOff>
    </xdr:from>
    <xdr:to>
      <xdr:col>11</xdr:col>
      <xdr:colOff>249555</xdr:colOff>
      <xdr:row>47</xdr:row>
      <xdr:rowOff>96770</xdr:rowOff>
    </xdr:to>
    <xdr:pic>
      <xdr:nvPicPr>
        <xdr:cNvPr id="57" name="Picture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326" y="7639051"/>
          <a:ext cx="4133849" cy="141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26335</xdr:colOff>
      <xdr:row>130</xdr:row>
      <xdr:rowOff>9526</xdr:rowOff>
    </xdr:from>
    <xdr:to>
      <xdr:col>16</xdr:col>
      <xdr:colOff>192406</xdr:colOff>
      <xdr:row>132</xdr:row>
      <xdr:rowOff>2192656</xdr:rowOff>
    </xdr:to>
    <xdr:pic>
      <xdr:nvPicPr>
        <xdr:cNvPr id="58" name="Picture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1335" y="28147497"/>
          <a:ext cx="4525159"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54428</xdr:colOff>
      <xdr:row>104</xdr:row>
      <xdr:rowOff>54428</xdr:rowOff>
    </xdr:from>
    <xdr:to>
      <xdr:col>17</xdr:col>
      <xdr:colOff>190500</xdr:colOff>
      <xdr:row>116</xdr:row>
      <xdr:rowOff>270433</xdr:rowOff>
    </xdr:to>
    <xdr:pic>
      <xdr:nvPicPr>
        <xdr:cNvPr id="8" name="Picture 7">
          <a:extLst>
            <a:ext uri="{FF2B5EF4-FFF2-40B4-BE49-F238E27FC236}">
              <a16:creationId xmlns:a16="http://schemas.microsoft.com/office/drawing/2014/main" id="{4B2742A4-98C7-4FB8-96C3-90C84FEA4E04}"/>
            </a:ext>
          </a:extLst>
        </xdr:cNvPr>
        <xdr:cNvPicPr>
          <a:picLocks noChangeAspect="1"/>
        </xdr:cNvPicPr>
      </xdr:nvPicPr>
      <xdr:blipFill>
        <a:blip xmlns:r="http://schemas.openxmlformats.org/officeDocument/2006/relationships" r:embed="rId8"/>
        <a:stretch>
          <a:fillRect/>
        </a:stretch>
      </xdr:blipFill>
      <xdr:spPr>
        <a:xfrm>
          <a:off x="1578428" y="20437928"/>
          <a:ext cx="5265965" cy="4951291"/>
        </a:xfrm>
        <a:prstGeom prst="rect">
          <a:avLst/>
        </a:prstGeom>
      </xdr:spPr>
    </xdr:pic>
    <xdr:clientData/>
  </xdr:twoCellAnchor>
  <xdr:oneCellAnchor>
    <xdr:from>
      <xdr:col>0</xdr:col>
      <xdr:colOff>291353</xdr:colOff>
      <xdr:row>0</xdr:row>
      <xdr:rowOff>179294</xdr:rowOff>
    </xdr:from>
    <xdr:ext cx="1191521" cy="901289"/>
    <xdr:pic>
      <xdr:nvPicPr>
        <xdr:cNvPr id="2" name="Picture 1" descr="oilco">
          <a:extLst>
            <a:ext uri="{FF2B5EF4-FFF2-40B4-BE49-F238E27FC236}">
              <a16:creationId xmlns:a16="http://schemas.microsoft.com/office/drawing/2014/main" id="{F69C716C-E2BF-447B-886A-5A2CF276E6F9}"/>
            </a:ext>
          </a:extLst>
        </xdr:cNvPr>
        <xdr:cNvPicPr/>
      </xdr:nvPicPr>
      <xdr:blipFill>
        <a:blip xmlns:r="http://schemas.openxmlformats.org/officeDocument/2006/relationships" r:embed="rId9" cstate="print"/>
        <a:srcRect/>
        <a:stretch>
          <a:fillRect/>
        </a:stretch>
      </xdr:blipFill>
      <xdr:spPr bwMode="auto">
        <a:xfrm>
          <a:off x="291353" y="8028835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3" name="Picture 2">
          <a:extLst>
            <a:ext uri="{FF2B5EF4-FFF2-40B4-BE49-F238E27FC236}">
              <a16:creationId xmlns:a16="http://schemas.microsoft.com/office/drawing/2014/main" id="{5082CC90-9B42-43BC-8ABE-3FFE5C6AA6BD}"/>
            </a:ext>
          </a:extLst>
        </xdr:cNvPr>
        <xdr:cNvPicPr>
          <a:picLocks noChangeAspect="1"/>
        </xdr:cNvPicPr>
      </xdr:nvPicPr>
      <xdr:blipFill rotWithShape="1">
        <a:blip xmlns:r="http://schemas.openxmlformats.org/officeDocument/2006/relationships" r:embed="rId10"/>
        <a:srcRect b="49004"/>
        <a:stretch/>
      </xdr:blipFill>
      <xdr:spPr>
        <a:xfrm>
          <a:off x="6978454" y="8025854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5" name="Picture 4">
          <a:extLst>
            <a:ext uri="{FF2B5EF4-FFF2-40B4-BE49-F238E27FC236}">
              <a16:creationId xmlns:a16="http://schemas.microsoft.com/office/drawing/2014/main" id="{6FF3E28E-534E-452E-B91E-5207219BBA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25691" y="80786680"/>
          <a:ext cx="525107" cy="345410"/>
        </a:xfrm>
        <a:prstGeom prst="rect">
          <a:avLst/>
        </a:prstGeom>
        <a:noFill/>
        <a:ln>
          <a:noFill/>
        </a:ln>
      </xdr:spPr>
    </xdr:pic>
    <xdr:clientData/>
  </xdr:oneCellAnchor>
  <xdr:oneCellAnchor>
    <xdr:from>
      <xdr:col>0</xdr:col>
      <xdr:colOff>291353</xdr:colOff>
      <xdr:row>53</xdr:row>
      <xdr:rowOff>179294</xdr:rowOff>
    </xdr:from>
    <xdr:ext cx="1191521" cy="901289"/>
    <xdr:pic>
      <xdr:nvPicPr>
        <xdr:cNvPr id="9" name="Picture 8" descr="oilco">
          <a:extLst>
            <a:ext uri="{FF2B5EF4-FFF2-40B4-BE49-F238E27FC236}">
              <a16:creationId xmlns:a16="http://schemas.microsoft.com/office/drawing/2014/main" id="{87FFA233-B221-4261-AB80-533D5F4BDD28}"/>
            </a:ext>
          </a:extLst>
        </xdr:cNvPr>
        <xdr:cNvPicPr/>
      </xdr:nvPicPr>
      <xdr:blipFill>
        <a:blip xmlns:r="http://schemas.openxmlformats.org/officeDocument/2006/relationships" r:embed="rId9"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53</xdr:row>
      <xdr:rowOff>149485</xdr:rowOff>
    </xdr:from>
    <xdr:ext cx="1526682" cy="519281"/>
    <xdr:pic>
      <xdr:nvPicPr>
        <xdr:cNvPr id="10" name="Picture 9">
          <a:extLst>
            <a:ext uri="{FF2B5EF4-FFF2-40B4-BE49-F238E27FC236}">
              <a16:creationId xmlns:a16="http://schemas.microsoft.com/office/drawing/2014/main" id="{ED27D2CE-772C-4602-86ED-592134356EEC}"/>
            </a:ext>
          </a:extLst>
        </xdr:cNvPr>
        <xdr:cNvPicPr>
          <a:picLocks noChangeAspect="1"/>
        </xdr:cNvPicPr>
      </xdr:nvPicPr>
      <xdr:blipFill rotWithShape="1">
        <a:blip xmlns:r="http://schemas.openxmlformats.org/officeDocument/2006/relationships" r:embed="rId10"/>
        <a:srcRect b="49004"/>
        <a:stretch/>
      </xdr:blipFill>
      <xdr:spPr>
        <a:xfrm>
          <a:off x="7039414" y="149485"/>
          <a:ext cx="1526682" cy="519281"/>
        </a:xfrm>
        <a:prstGeom prst="rect">
          <a:avLst/>
        </a:prstGeom>
      </xdr:spPr>
    </xdr:pic>
    <xdr:clientData/>
  </xdr:oneCellAnchor>
  <xdr:oneCellAnchor>
    <xdr:from>
      <xdr:col>18</xdr:col>
      <xdr:colOff>308611</xdr:colOff>
      <xdr:row>56</xdr:row>
      <xdr:rowOff>121360</xdr:rowOff>
    </xdr:from>
    <xdr:ext cx="525107" cy="345410"/>
    <xdr:pic>
      <xdr:nvPicPr>
        <xdr:cNvPr id="11" name="Picture 10">
          <a:extLst>
            <a:ext uri="{FF2B5EF4-FFF2-40B4-BE49-F238E27FC236}">
              <a16:creationId xmlns:a16="http://schemas.microsoft.com/office/drawing/2014/main" id="{E3E98914-D8D6-4D7E-BD14-8FBF62A63D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677620"/>
          <a:ext cx="525107" cy="345410"/>
        </a:xfrm>
        <a:prstGeom prst="rect">
          <a:avLst/>
        </a:prstGeom>
        <a:noFill/>
        <a:ln>
          <a:noFill/>
        </a:ln>
      </xdr:spPr>
    </xdr:pic>
    <xdr:clientData/>
  </xdr:oneCellAnchor>
  <xdr:oneCellAnchor>
    <xdr:from>
      <xdr:col>0</xdr:col>
      <xdr:colOff>291353</xdr:colOff>
      <xdr:row>117</xdr:row>
      <xdr:rowOff>179294</xdr:rowOff>
    </xdr:from>
    <xdr:ext cx="1191521" cy="901289"/>
    <xdr:pic>
      <xdr:nvPicPr>
        <xdr:cNvPr id="12" name="Picture 11" descr="oilco">
          <a:extLst>
            <a:ext uri="{FF2B5EF4-FFF2-40B4-BE49-F238E27FC236}">
              <a16:creationId xmlns:a16="http://schemas.microsoft.com/office/drawing/2014/main" id="{224A6566-E87F-4043-BB38-1F4F01F9EE95}"/>
            </a:ext>
          </a:extLst>
        </xdr:cNvPr>
        <xdr:cNvPicPr/>
      </xdr:nvPicPr>
      <xdr:blipFill>
        <a:blip xmlns:r="http://schemas.openxmlformats.org/officeDocument/2006/relationships" r:embed="rId9" cstate="print"/>
        <a:srcRect/>
        <a:stretch>
          <a:fillRect/>
        </a:stretch>
      </xdr:blipFill>
      <xdr:spPr bwMode="auto">
        <a:xfrm>
          <a:off x="291353" y="10070054"/>
          <a:ext cx="1191521" cy="901289"/>
        </a:xfrm>
        <a:prstGeom prst="rect">
          <a:avLst/>
        </a:prstGeom>
        <a:noFill/>
        <a:ln w="9525">
          <a:noFill/>
          <a:miter lim="800000"/>
          <a:headEnd/>
          <a:tailEnd/>
        </a:ln>
      </xdr:spPr>
    </xdr:pic>
    <xdr:clientData/>
  </xdr:oneCellAnchor>
  <xdr:oneCellAnchor>
    <xdr:from>
      <xdr:col>17</xdr:col>
      <xdr:colOff>249994</xdr:colOff>
      <xdr:row>117</xdr:row>
      <xdr:rowOff>149485</xdr:rowOff>
    </xdr:from>
    <xdr:ext cx="1526682" cy="519281"/>
    <xdr:pic>
      <xdr:nvPicPr>
        <xdr:cNvPr id="13" name="Picture 12">
          <a:extLst>
            <a:ext uri="{FF2B5EF4-FFF2-40B4-BE49-F238E27FC236}">
              <a16:creationId xmlns:a16="http://schemas.microsoft.com/office/drawing/2014/main" id="{95CDA6E0-6A1E-462C-9CA0-3F4CFFC1B9A2}"/>
            </a:ext>
          </a:extLst>
        </xdr:cNvPr>
        <xdr:cNvPicPr>
          <a:picLocks noChangeAspect="1"/>
        </xdr:cNvPicPr>
      </xdr:nvPicPr>
      <xdr:blipFill rotWithShape="1">
        <a:blip xmlns:r="http://schemas.openxmlformats.org/officeDocument/2006/relationships" r:embed="rId10"/>
        <a:srcRect b="49004"/>
        <a:stretch/>
      </xdr:blipFill>
      <xdr:spPr>
        <a:xfrm>
          <a:off x="7039414" y="10040245"/>
          <a:ext cx="1526682" cy="519281"/>
        </a:xfrm>
        <a:prstGeom prst="rect">
          <a:avLst/>
        </a:prstGeom>
      </xdr:spPr>
    </xdr:pic>
    <xdr:clientData/>
  </xdr:oneCellAnchor>
  <xdr:oneCellAnchor>
    <xdr:from>
      <xdr:col>18</xdr:col>
      <xdr:colOff>308611</xdr:colOff>
      <xdr:row>120</xdr:row>
      <xdr:rowOff>121360</xdr:rowOff>
    </xdr:from>
    <xdr:ext cx="525107" cy="345410"/>
    <xdr:pic>
      <xdr:nvPicPr>
        <xdr:cNvPr id="14" name="Picture 13">
          <a:extLst>
            <a:ext uri="{FF2B5EF4-FFF2-40B4-BE49-F238E27FC236}">
              <a16:creationId xmlns:a16="http://schemas.microsoft.com/office/drawing/2014/main" id="{C9063B65-2FEC-4E5F-A5AE-1D9456F2A4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10568380"/>
          <a:ext cx="525107" cy="345410"/>
        </a:xfrm>
        <a:prstGeom prst="rect">
          <a:avLst/>
        </a:prstGeom>
        <a:noFill/>
        <a:ln>
          <a:noFill/>
        </a:ln>
      </xdr:spPr>
    </xdr:pic>
    <xdr:clientData/>
  </xdr:oneCellAnchor>
  <xdr:oneCellAnchor>
    <xdr:from>
      <xdr:col>0</xdr:col>
      <xdr:colOff>291353</xdr:colOff>
      <xdr:row>172</xdr:row>
      <xdr:rowOff>179294</xdr:rowOff>
    </xdr:from>
    <xdr:ext cx="1191521" cy="901289"/>
    <xdr:pic>
      <xdr:nvPicPr>
        <xdr:cNvPr id="15" name="Picture 14" descr="oilco">
          <a:extLst>
            <a:ext uri="{FF2B5EF4-FFF2-40B4-BE49-F238E27FC236}">
              <a16:creationId xmlns:a16="http://schemas.microsoft.com/office/drawing/2014/main" id="{0112D1A3-047E-42D1-BAE5-C3823BAF893D}"/>
            </a:ext>
          </a:extLst>
        </xdr:cNvPr>
        <xdr:cNvPicPr/>
      </xdr:nvPicPr>
      <xdr:blipFill>
        <a:blip xmlns:r="http://schemas.openxmlformats.org/officeDocument/2006/relationships" r:embed="rId9" cstate="print"/>
        <a:srcRect/>
        <a:stretch>
          <a:fillRect/>
        </a:stretch>
      </xdr:blipFill>
      <xdr:spPr bwMode="auto">
        <a:xfrm>
          <a:off x="291353" y="25256714"/>
          <a:ext cx="1191521" cy="901289"/>
        </a:xfrm>
        <a:prstGeom prst="rect">
          <a:avLst/>
        </a:prstGeom>
        <a:noFill/>
        <a:ln w="9525">
          <a:noFill/>
          <a:miter lim="800000"/>
          <a:headEnd/>
          <a:tailEnd/>
        </a:ln>
      </xdr:spPr>
    </xdr:pic>
    <xdr:clientData/>
  </xdr:oneCellAnchor>
  <xdr:oneCellAnchor>
    <xdr:from>
      <xdr:col>17</xdr:col>
      <xdr:colOff>249994</xdr:colOff>
      <xdr:row>172</xdr:row>
      <xdr:rowOff>149485</xdr:rowOff>
    </xdr:from>
    <xdr:ext cx="1526682" cy="519281"/>
    <xdr:pic>
      <xdr:nvPicPr>
        <xdr:cNvPr id="16" name="Picture 15">
          <a:extLst>
            <a:ext uri="{FF2B5EF4-FFF2-40B4-BE49-F238E27FC236}">
              <a16:creationId xmlns:a16="http://schemas.microsoft.com/office/drawing/2014/main" id="{5690947C-E7AD-4E31-ADE5-0014B39B1075}"/>
            </a:ext>
          </a:extLst>
        </xdr:cNvPr>
        <xdr:cNvPicPr>
          <a:picLocks noChangeAspect="1"/>
        </xdr:cNvPicPr>
      </xdr:nvPicPr>
      <xdr:blipFill rotWithShape="1">
        <a:blip xmlns:r="http://schemas.openxmlformats.org/officeDocument/2006/relationships" r:embed="rId10"/>
        <a:srcRect b="49004"/>
        <a:stretch/>
      </xdr:blipFill>
      <xdr:spPr>
        <a:xfrm>
          <a:off x="7039414" y="25226905"/>
          <a:ext cx="1526682" cy="519281"/>
        </a:xfrm>
        <a:prstGeom prst="rect">
          <a:avLst/>
        </a:prstGeom>
      </xdr:spPr>
    </xdr:pic>
    <xdr:clientData/>
  </xdr:oneCellAnchor>
  <xdr:oneCellAnchor>
    <xdr:from>
      <xdr:col>18</xdr:col>
      <xdr:colOff>308611</xdr:colOff>
      <xdr:row>175</xdr:row>
      <xdr:rowOff>121360</xdr:rowOff>
    </xdr:from>
    <xdr:ext cx="525107" cy="345410"/>
    <xdr:pic>
      <xdr:nvPicPr>
        <xdr:cNvPr id="17" name="Picture 16">
          <a:extLst>
            <a:ext uri="{FF2B5EF4-FFF2-40B4-BE49-F238E27FC236}">
              <a16:creationId xmlns:a16="http://schemas.microsoft.com/office/drawing/2014/main" id="{FD010182-FA31-4F82-8A0E-860E54912C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486651" y="25747420"/>
          <a:ext cx="525107" cy="345410"/>
        </a:xfrm>
        <a:prstGeom prst="rect">
          <a:avLst/>
        </a:prstGeom>
        <a:noFill/>
        <a:ln>
          <a:noFill/>
        </a:ln>
      </xdr:spPr>
    </xdr:pic>
    <xdr:clientData/>
  </xdr:oneCellAnchor>
  <xdr:twoCellAnchor>
    <xdr:from>
      <xdr:col>18</xdr:col>
      <xdr:colOff>34957</xdr:colOff>
      <xdr:row>181</xdr:row>
      <xdr:rowOff>0</xdr:rowOff>
    </xdr:from>
    <xdr:to>
      <xdr:col>18</xdr:col>
      <xdr:colOff>568358</xdr:colOff>
      <xdr:row>181</xdr:row>
      <xdr:rowOff>400050</xdr:rowOff>
    </xdr:to>
    <xdr:sp macro="" textlink="">
      <xdr:nvSpPr>
        <xdr:cNvPr id="22" name="Isosceles Triangle 21">
          <a:extLst>
            <a:ext uri="{FF2B5EF4-FFF2-40B4-BE49-F238E27FC236}">
              <a16:creationId xmlns:a16="http://schemas.microsoft.com/office/drawing/2014/main" id="{00000000-0008-0000-0A00-000016000000}"/>
            </a:ext>
          </a:extLst>
        </xdr:cNvPr>
        <xdr:cNvSpPr/>
      </xdr:nvSpPr>
      <xdr:spPr>
        <a:xfrm>
          <a:off x="7064407" y="3966210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181</xdr:row>
      <xdr:rowOff>137001</xdr:rowOff>
    </xdr:from>
    <xdr:ext cx="635032" cy="26456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7029450" y="39799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3" name="TextBox 22"/>
            <xdr:cNvSpPr txBox="1"/>
          </xdr:nvSpPr>
          <xdr:spPr>
            <a:xfrm>
              <a:off x="7029450" y="39799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18</xdr:col>
      <xdr:colOff>34957</xdr:colOff>
      <xdr:row>126</xdr:row>
      <xdr:rowOff>0</xdr:rowOff>
    </xdr:from>
    <xdr:to>
      <xdr:col>18</xdr:col>
      <xdr:colOff>568358</xdr:colOff>
      <xdr:row>128</xdr:row>
      <xdr:rowOff>19050</xdr:rowOff>
    </xdr:to>
    <xdr:sp macro="" textlink="">
      <xdr:nvSpPr>
        <xdr:cNvPr id="27" name="Isosceles Triangle 26">
          <a:extLst>
            <a:ext uri="{FF2B5EF4-FFF2-40B4-BE49-F238E27FC236}">
              <a16:creationId xmlns:a16="http://schemas.microsoft.com/office/drawing/2014/main" id="{00000000-0008-0000-0A00-00001B000000}"/>
            </a:ext>
          </a:extLst>
        </xdr:cNvPr>
        <xdr:cNvSpPr/>
      </xdr:nvSpPr>
      <xdr:spPr>
        <a:xfrm>
          <a:off x="7064407" y="2770822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126</xdr:row>
      <xdr:rowOff>137001</xdr:rowOff>
    </xdr:from>
    <xdr:ext cx="635032" cy="264560"/>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7029450" y="278452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8" name="TextBox 27"/>
            <xdr:cNvSpPr txBox="1"/>
          </xdr:nvSpPr>
          <xdr:spPr>
            <a:xfrm>
              <a:off x="7029450" y="278452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19</xdr:col>
      <xdr:colOff>34957</xdr:colOff>
      <xdr:row>101</xdr:row>
      <xdr:rowOff>0</xdr:rowOff>
    </xdr:from>
    <xdr:to>
      <xdr:col>20</xdr:col>
      <xdr:colOff>187358</xdr:colOff>
      <xdr:row>103</xdr:row>
      <xdr:rowOff>19050</xdr:rowOff>
    </xdr:to>
    <xdr:sp macro="" textlink="">
      <xdr:nvSpPr>
        <xdr:cNvPr id="29" name="Isosceles Triangle 28">
          <a:extLst>
            <a:ext uri="{FF2B5EF4-FFF2-40B4-BE49-F238E27FC236}">
              <a16:creationId xmlns:a16="http://schemas.microsoft.com/office/drawing/2014/main" id="{00000000-0008-0000-0A00-00001D000000}"/>
            </a:ext>
          </a:extLst>
        </xdr:cNvPr>
        <xdr:cNvSpPr/>
      </xdr:nvSpPr>
      <xdr:spPr>
        <a:xfrm>
          <a:off x="7645432" y="199167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19</xdr:col>
      <xdr:colOff>0</xdr:colOff>
      <xdr:row>101</xdr:row>
      <xdr:rowOff>137001</xdr:rowOff>
    </xdr:from>
    <xdr:ext cx="635032" cy="264560"/>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7610475" y="200537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0" name="TextBox 29"/>
            <xdr:cNvSpPr txBox="1"/>
          </xdr:nvSpPr>
          <xdr:spPr>
            <a:xfrm>
              <a:off x="7610475" y="200537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18</xdr:col>
      <xdr:colOff>34957</xdr:colOff>
      <xdr:row>33</xdr:row>
      <xdr:rowOff>0</xdr:rowOff>
    </xdr:from>
    <xdr:to>
      <xdr:col>18</xdr:col>
      <xdr:colOff>568358</xdr:colOff>
      <xdr:row>35</xdr:row>
      <xdr:rowOff>19050</xdr:rowOff>
    </xdr:to>
    <xdr:sp macro="" textlink="">
      <xdr:nvSpPr>
        <xdr:cNvPr id="31" name="Isosceles Triangle 30">
          <a:extLst>
            <a:ext uri="{FF2B5EF4-FFF2-40B4-BE49-F238E27FC236}">
              <a16:creationId xmlns:a16="http://schemas.microsoft.com/office/drawing/2014/main" id="{00000000-0008-0000-0A00-00001F000000}"/>
            </a:ext>
          </a:extLst>
        </xdr:cNvPr>
        <xdr:cNvSpPr/>
      </xdr:nvSpPr>
      <xdr:spPr>
        <a:xfrm>
          <a:off x="7064407" y="643890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33</xdr:row>
      <xdr:rowOff>137001</xdr:rowOff>
    </xdr:from>
    <xdr:ext cx="635032" cy="264560"/>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7029450" y="65759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2" name="TextBox 31"/>
            <xdr:cNvSpPr txBox="1"/>
          </xdr:nvSpPr>
          <xdr:spPr>
            <a:xfrm>
              <a:off x="7029450" y="65759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291353</xdr:colOff>
      <xdr:row>0</xdr:row>
      <xdr:rowOff>179294</xdr:rowOff>
    </xdr:from>
    <xdr:ext cx="1191521" cy="901289"/>
    <xdr:pic>
      <xdr:nvPicPr>
        <xdr:cNvPr id="2" name="Picture 1" descr="oilco">
          <a:extLst>
            <a:ext uri="{FF2B5EF4-FFF2-40B4-BE49-F238E27FC236}">
              <a16:creationId xmlns:a16="http://schemas.microsoft.com/office/drawing/2014/main" id="{E5214230-4200-4B32-8B4F-0908C14EEECB}"/>
            </a:ext>
          </a:extLst>
        </xdr:cNvPr>
        <xdr:cNvPicPr/>
      </xdr:nvPicPr>
      <xdr:blipFill>
        <a:blip xmlns:r="http://schemas.openxmlformats.org/officeDocument/2006/relationships" r:embed="rId1" cstate="print"/>
        <a:srcRect/>
        <a:stretch>
          <a:fillRect/>
        </a:stretch>
      </xdr:blipFill>
      <xdr:spPr bwMode="auto">
        <a:xfrm>
          <a:off x="291353" y="36930554"/>
          <a:ext cx="1191521" cy="901289"/>
        </a:xfrm>
        <a:prstGeom prst="rect">
          <a:avLst/>
        </a:prstGeom>
        <a:noFill/>
        <a:ln w="9525">
          <a:noFill/>
          <a:miter lim="800000"/>
          <a:headEnd/>
          <a:tailEnd/>
        </a:ln>
      </xdr:spPr>
    </xdr:pic>
    <xdr:clientData/>
  </xdr:oneCellAnchor>
  <xdr:oneCellAnchor>
    <xdr:from>
      <xdr:col>17</xdr:col>
      <xdr:colOff>97594</xdr:colOff>
      <xdr:row>0</xdr:row>
      <xdr:rowOff>92335</xdr:rowOff>
    </xdr:from>
    <xdr:ext cx="1526682" cy="519281"/>
    <xdr:pic>
      <xdr:nvPicPr>
        <xdr:cNvPr id="5" name="Picture 4">
          <a:extLst>
            <a:ext uri="{FF2B5EF4-FFF2-40B4-BE49-F238E27FC236}">
              <a16:creationId xmlns:a16="http://schemas.microsoft.com/office/drawing/2014/main" id="{033168F5-FAA7-41C2-B858-A34A579907D9}"/>
            </a:ext>
          </a:extLst>
        </xdr:cNvPr>
        <xdr:cNvPicPr>
          <a:picLocks noChangeAspect="1"/>
        </xdr:cNvPicPr>
      </xdr:nvPicPr>
      <xdr:blipFill rotWithShape="1">
        <a:blip xmlns:r="http://schemas.openxmlformats.org/officeDocument/2006/relationships" r:embed="rId2"/>
        <a:srcRect b="49004"/>
        <a:stretch/>
      </xdr:blipFill>
      <xdr:spPr>
        <a:xfrm>
          <a:off x="6088819" y="9233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6" name="Picture 5">
          <a:extLst>
            <a:ext uri="{FF2B5EF4-FFF2-40B4-BE49-F238E27FC236}">
              <a16:creationId xmlns:a16="http://schemas.microsoft.com/office/drawing/2014/main" id="{CB402417-EEF2-4D12-953D-1C0EB27FC6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86651" y="37421260"/>
          <a:ext cx="525107" cy="345410"/>
        </a:xfrm>
        <a:prstGeom prst="rect">
          <a:avLst/>
        </a:prstGeom>
        <a:noFill/>
        <a:ln>
          <a:noFill/>
        </a:ln>
      </xdr:spPr>
    </xdr:pic>
    <xdr:clientData/>
  </xdr:oneCellAnchor>
  <xdr:twoCellAnchor>
    <xdr:from>
      <xdr:col>20</xdr:col>
      <xdr:colOff>34957</xdr:colOff>
      <xdr:row>17</xdr:row>
      <xdr:rowOff>0</xdr:rowOff>
    </xdr:from>
    <xdr:to>
      <xdr:col>21</xdr:col>
      <xdr:colOff>215933</xdr:colOff>
      <xdr:row>19</xdr:row>
      <xdr:rowOff>19050</xdr:rowOff>
    </xdr:to>
    <xdr:sp macro="" textlink="">
      <xdr:nvSpPr>
        <xdr:cNvPr id="7" name="Isosceles Triangle 6">
          <a:extLst>
            <a:ext uri="{FF2B5EF4-FFF2-40B4-BE49-F238E27FC236}">
              <a16:creationId xmlns:a16="http://schemas.microsoft.com/office/drawing/2014/main" id="{00000000-0008-0000-0B00-000007000000}"/>
            </a:ext>
          </a:extLst>
        </xdr:cNvPr>
        <xdr:cNvSpPr/>
      </xdr:nvSpPr>
      <xdr:spPr>
        <a:xfrm>
          <a:off x="7083457" y="3467100"/>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20</xdr:col>
      <xdr:colOff>0</xdr:colOff>
      <xdr:row>17</xdr:row>
      <xdr:rowOff>137001</xdr:rowOff>
    </xdr:from>
    <xdr:ext cx="635032" cy="26456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7048500" y="3604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8" name="TextBox 7"/>
            <xdr:cNvSpPr txBox="1"/>
          </xdr:nvSpPr>
          <xdr:spPr>
            <a:xfrm>
              <a:off x="7048500" y="3604101"/>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2</xdr:col>
      <xdr:colOff>161925</xdr:colOff>
      <xdr:row>14</xdr:row>
      <xdr:rowOff>28575</xdr:rowOff>
    </xdr:from>
    <xdr:to>
      <xdr:col>18</xdr:col>
      <xdr:colOff>253365</xdr:colOff>
      <xdr:row>23</xdr:row>
      <xdr:rowOff>62230</xdr:rowOff>
    </xdr:to>
    <xdr:pic>
      <xdr:nvPicPr>
        <xdr:cNvPr id="4" name="Picture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5" y="2695575"/>
          <a:ext cx="5425440" cy="1748155"/>
        </a:xfrm>
        <a:prstGeom prst="rect">
          <a:avLst/>
        </a:prstGeom>
        <a:noFill/>
        <a:ln>
          <a:noFill/>
        </a:ln>
      </xdr:spPr>
    </xdr:pic>
    <xdr:clientData/>
  </xdr:twoCellAnchor>
  <xdr:twoCellAnchor editAs="oneCell">
    <xdr:from>
      <xdr:col>1</xdr:col>
      <xdr:colOff>133350</xdr:colOff>
      <xdr:row>24</xdr:row>
      <xdr:rowOff>76200</xdr:rowOff>
    </xdr:from>
    <xdr:to>
      <xdr:col>9</xdr:col>
      <xdr:colOff>53975</xdr:colOff>
      <xdr:row>27</xdr:row>
      <xdr:rowOff>146050</xdr:rowOff>
    </xdr:to>
    <xdr:pic>
      <xdr:nvPicPr>
        <xdr:cNvPr id="5" name="Picture 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648200"/>
          <a:ext cx="2587625" cy="641350"/>
        </a:xfrm>
        <a:prstGeom prst="rect">
          <a:avLst/>
        </a:prstGeom>
        <a:noFill/>
        <a:ln>
          <a:noFill/>
        </a:ln>
      </xdr:spPr>
    </xdr:pic>
    <xdr:clientData/>
  </xdr:twoCellAnchor>
  <xdr:twoCellAnchor editAs="oneCell">
    <xdr:from>
      <xdr:col>1</xdr:col>
      <xdr:colOff>161925</xdr:colOff>
      <xdr:row>28</xdr:row>
      <xdr:rowOff>123825</xdr:rowOff>
    </xdr:from>
    <xdr:to>
      <xdr:col>6</xdr:col>
      <xdr:colOff>5715</xdr:colOff>
      <xdr:row>31</xdr:row>
      <xdr:rowOff>113030</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5457825"/>
          <a:ext cx="1510665" cy="560705"/>
        </a:xfrm>
        <a:prstGeom prst="rect">
          <a:avLst/>
        </a:prstGeom>
        <a:noFill/>
        <a:ln>
          <a:noFill/>
        </a:ln>
      </xdr:spPr>
    </xdr:pic>
    <xdr:clientData/>
  </xdr:twoCellAnchor>
  <xdr:oneCellAnchor>
    <xdr:from>
      <xdr:col>0</xdr:col>
      <xdr:colOff>209550</xdr:colOff>
      <xdr:row>47</xdr:row>
      <xdr:rowOff>152400</xdr:rowOff>
    </xdr:from>
    <xdr:ext cx="1047750" cy="657860"/>
    <xdr:pic>
      <xdr:nvPicPr>
        <xdr:cNvPr id="9" name="Picture 8">
          <a:extLst>
            <a:ext uri="{FF2B5EF4-FFF2-40B4-BE49-F238E27FC236}">
              <a16:creationId xmlns:a16="http://schemas.microsoft.com/office/drawing/2014/main" id="{00000000-0008-0000-0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10" name="Picture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28575</xdr:colOff>
      <xdr:row>59</xdr:row>
      <xdr:rowOff>57150</xdr:rowOff>
    </xdr:from>
    <xdr:to>
      <xdr:col>8</xdr:col>
      <xdr:colOff>6350</xdr:colOff>
      <xdr:row>60</xdr:row>
      <xdr:rowOff>160020</xdr:rowOff>
    </xdr:to>
    <xdr:pic>
      <xdr:nvPicPr>
        <xdr:cNvPr id="11" name="Picture 10">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11296650"/>
          <a:ext cx="2311400" cy="293370"/>
        </a:xfrm>
        <a:prstGeom prst="rect">
          <a:avLst/>
        </a:prstGeom>
        <a:noFill/>
        <a:ln>
          <a:noFill/>
        </a:ln>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C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C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95250</xdr:colOff>
      <xdr:row>102</xdr:row>
      <xdr:rowOff>171450</xdr:rowOff>
    </xdr:from>
    <xdr:to>
      <xdr:col>11</xdr:col>
      <xdr:colOff>64770</xdr:colOff>
      <xdr:row>107</xdr:row>
      <xdr:rowOff>115570</xdr:rowOff>
    </xdr:to>
    <xdr:pic>
      <xdr:nvPicPr>
        <xdr:cNvPr id="17" name="Picture 16">
          <a:extLst>
            <a:ext uri="{FF2B5EF4-FFF2-40B4-BE49-F238E27FC236}">
              <a16:creationId xmlns:a16="http://schemas.microsoft.com/office/drawing/2014/main" id="{00000000-0008-0000-0C00-000011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9602450"/>
          <a:ext cx="3303270" cy="896620"/>
        </a:xfrm>
        <a:prstGeom prst="rect">
          <a:avLst/>
        </a:prstGeom>
        <a:noFill/>
        <a:ln>
          <a:noFill/>
        </a:ln>
      </xdr:spPr>
    </xdr:pic>
    <xdr:clientData/>
  </xdr:twoCellAnchor>
  <xdr:oneCellAnchor>
    <xdr:from>
      <xdr:col>0</xdr:col>
      <xdr:colOff>142875</xdr:colOff>
      <xdr:row>143</xdr:row>
      <xdr:rowOff>152400</xdr:rowOff>
    </xdr:from>
    <xdr:ext cx="1047750" cy="657860"/>
    <xdr:pic>
      <xdr:nvPicPr>
        <xdr:cNvPr id="18" name="Picture 17">
          <a:extLst>
            <a:ext uri="{FF2B5EF4-FFF2-40B4-BE49-F238E27FC236}">
              <a16:creationId xmlns:a16="http://schemas.microsoft.com/office/drawing/2014/main" id="{00000000-0008-0000-0C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31900"/>
          <a:ext cx="1047750" cy="657860"/>
        </a:xfrm>
        <a:prstGeom prst="rect">
          <a:avLst/>
        </a:prstGeom>
      </xdr:spPr>
    </xdr:pic>
    <xdr:clientData/>
  </xdr:oneCellAnchor>
  <xdr:oneCellAnchor>
    <xdr:from>
      <xdr:col>17</xdr:col>
      <xdr:colOff>219075</xdr:colOff>
      <xdr:row>144</xdr:row>
      <xdr:rowOff>47625</xdr:rowOff>
    </xdr:from>
    <xdr:ext cx="1047750" cy="657860"/>
    <xdr:pic>
      <xdr:nvPicPr>
        <xdr:cNvPr id="19" name="Picture 18">
          <a:extLst>
            <a:ext uri="{FF2B5EF4-FFF2-40B4-BE49-F238E27FC236}">
              <a16:creationId xmlns:a16="http://schemas.microsoft.com/office/drawing/2014/main" id="{00000000-0008-0000-0C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0" y="26717625"/>
          <a:ext cx="1047750" cy="657860"/>
        </a:xfrm>
        <a:prstGeom prst="rect">
          <a:avLst/>
        </a:prstGeom>
      </xdr:spPr>
    </xdr:pic>
    <xdr:clientData/>
  </xdr:oneCellAnchor>
  <xdr:twoCellAnchor editAs="oneCell">
    <xdr:from>
      <xdr:col>1</xdr:col>
      <xdr:colOff>219075</xdr:colOff>
      <xdr:row>166</xdr:row>
      <xdr:rowOff>104775</xdr:rowOff>
    </xdr:from>
    <xdr:to>
      <xdr:col>10</xdr:col>
      <xdr:colOff>114300</xdr:colOff>
      <xdr:row>169</xdr:row>
      <xdr:rowOff>123190</xdr:rowOff>
    </xdr:to>
    <xdr:pic>
      <xdr:nvPicPr>
        <xdr:cNvPr id="20" name="Picture 19">
          <a:extLst>
            <a:ext uri="{FF2B5EF4-FFF2-40B4-BE49-F238E27FC236}">
              <a16:creationId xmlns:a16="http://schemas.microsoft.com/office/drawing/2014/main" id="{00000000-0008-0000-0C00-000014000000}"/>
            </a:ext>
          </a:extLst>
        </xdr:cNvPr>
        <xdr:cNvPicPr/>
      </xdr:nvPicPr>
      <xdr:blipFill>
        <a:blip xmlns:r="http://schemas.openxmlformats.org/officeDocument/2006/relationships" r:embed="rId7"/>
        <a:stretch>
          <a:fillRect/>
        </a:stretch>
      </xdr:blipFill>
      <xdr:spPr>
        <a:xfrm>
          <a:off x="552450" y="31346775"/>
          <a:ext cx="2895600" cy="589915"/>
        </a:xfrm>
        <a:prstGeom prst="rect">
          <a:avLst/>
        </a:prstGeom>
      </xdr:spPr>
    </xdr:pic>
    <xdr:clientData/>
  </xdr:twoCellAnchor>
  <xdr:twoCellAnchor editAs="oneCell">
    <xdr:from>
      <xdr:col>1</xdr:col>
      <xdr:colOff>95250</xdr:colOff>
      <xdr:row>178</xdr:row>
      <xdr:rowOff>114300</xdr:rowOff>
    </xdr:from>
    <xdr:to>
      <xdr:col>10</xdr:col>
      <xdr:colOff>260350</xdr:colOff>
      <xdr:row>182</xdr:row>
      <xdr:rowOff>113030</xdr:rowOff>
    </xdr:to>
    <xdr:pic>
      <xdr:nvPicPr>
        <xdr:cNvPr id="21" name="Picture 20">
          <a:extLst>
            <a:ext uri="{FF2B5EF4-FFF2-40B4-BE49-F238E27FC236}">
              <a16:creationId xmlns:a16="http://schemas.microsoft.com/office/drawing/2014/main" id="{00000000-0008-0000-0C00-000015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33642300"/>
          <a:ext cx="3165475" cy="760730"/>
        </a:xfrm>
        <a:prstGeom prst="rect">
          <a:avLst/>
        </a:prstGeom>
        <a:noFill/>
        <a:ln>
          <a:noFill/>
        </a:ln>
      </xdr:spPr>
    </xdr:pic>
    <xdr:clientData/>
  </xdr:twoCellAnchor>
  <xdr:oneCellAnchor>
    <xdr:from>
      <xdr:col>0</xdr:col>
      <xdr:colOff>209550</xdr:colOff>
      <xdr:row>190</xdr:row>
      <xdr:rowOff>152400</xdr:rowOff>
    </xdr:from>
    <xdr:ext cx="1047750" cy="657860"/>
    <xdr:pic>
      <xdr:nvPicPr>
        <xdr:cNvPr id="22" name="Picture 21">
          <a:extLst>
            <a:ext uri="{FF2B5EF4-FFF2-40B4-BE49-F238E27FC236}">
              <a16:creationId xmlns:a16="http://schemas.microsoft.com/office/drawing/2014/main" id="{00000000-0008-0000-0C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191</xdr:row>
      <xdr:rowOff>9525</xdr:rowOff>
    </xdr:from>
    <xdr:ext cx="1047750" cy="657860"/>
    <xdr:pic>
      <xdr:nvPicPr>
        <xdr:cNvPr id="23" name="Picture 22">
          <a:extLst>
            <a:ext uri="{FF2B5EF4-FFF2-40B4-BE49-F238E27FC236}">
              <a16:creationId xmlns:a16="http://schemas.microsoft.com/office/drawing/2014/main" id="{00000000-0008-0000-0C00-00001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114300</xdr:colOff>
      <xdr:row>203</xdr:row>
      <xdr:rowOff>47625</xdr:rowOff>
    </xdr:from>
    <xdr:to>
      <xdr:col>10</xdr:col>
      <xdr:colOff>0</xdr:colOff>
      <xdr:row>204</xdr:row>
      <xdr:rowOff>125095</xdr:rowOff>
    </xdr:to>
    <xdr:pic>
      <xdr:nvPicPr>
        <xdr:cNvPr id="24" name="Picture 23">
          <a:extLst>
            <a:ext uri="{FF2B5EF4-FFF2-40B4-BE49-F238E27FC236}">
              <a16:creationId xmlns:a16="http://schemas.microsoft.com/office/drawing/2014/main" id="{00000000-0008-0000-0C00-000018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7675" y="38338125"/>
          <a:ext cx="2867025" cy="267970"/>
        </a:xfrm>
        <a:prstGeom prst="rect">
          <a:avLst/>
        </a:prstGeom>
        <a:noFill/>
        <a:ln>
          <a:noFill/>
        </a:ln>
      </xdr:spPr>
    </xdr:pic>
    <xdr:clientData/>
  </xdr:twoCellAnchor>
  <xdr:twoCellAnchor editAs="oneCell">
    <xdr:from>
      <xdr:col>1</xdr:col>
      <xdr:colOff>171450</xdr:colOff>
      <xdr:row>212</xdr:row>
      <xdr:rowOff>47626</xdr:rowOff>
    </xdr:from>
    <xdr:to>
      <xdr:col>12</xdr:col>
      <xdr:colOff>200025</xdr:colOff>
      <xdr:row>218</xdr:row>
      <xdr:rowOff>123826</xdr:rowOff>
    </xdr:to>
    <xdr:pic>
      <xdr:nvPicPr>
        <xdr:cNvPr id="25" name="Picture 24">
          <a:extLst>
            <a:ext uri="{FF2B5EF4-FFF2-40B4-BE49-F238E27FC236}">
              <a16:creationId xmlns:a16="http://schemas.microsoft.com/office/drawing/2014/main" id="{00000000-0008-0000-0C00-000019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6725" y="40433626"/>
          <a:ext cx="3276600" cy="1219200"/>
        </a:xfrm>
        <a:prstGeom prst="rect">
          <a:avLst/>
        </a:prstGeom>
        <a:noFill/>
        <a:ln>
          <a:noFill/>
        </a:ln>
      </xdr:spPr>
    </xdr:pic>
    <xdr:clientData/>
  </xdr:twoCellAnchor>
  <xdr:twoCellAnchor editAs="oneCell">
    <xdr:from>
      <xdr:col>1</xdr:col>
      <xdr:colOff>276225</xdr:colOff>
      <xdr:row>225</xdr:row>
      <xdr:rowOff>19051</xdr:rowOff>
    </xdr:from>
    <xdr:to>
      <xdr:col>15</xdr:col>
      <xdr:colOff>219075</xdr:colOff>
      <xdr:row>235</xdr:row>
      <xdr:rowOff>152359</xdr:rowOff>
    </xdr:to>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rotWithShape="1">
        <a:blip xmlns:r="http://schemas.openxmlformats.org/officeDocument/2006/relationships" r:embed="rId11"/>
        <a:srcRect l="16693" t="26826" r="16241" b="20433"/>
        <a:stretch/>
      </xdr:blipFill>
      <xdr:spPr>
        <a:xfrm>
          <a:off x="609600" y="42500551"/>
          <a:ext cx="4610100" cy="2038308"/>
        </a:xfrm>
        <a:prstGeom prst="rect">
          <a:avLst/>
        </a:prstGeom>
      </xdr:spPr>
    </xdr:pic>
    <xdr:clientData/>
  </xdr:twoCellAnchor>
  <xdr:oneCellAnchor>
    <xdr:from>
      <xdr:col>0</xdr:col>
      <xdr:colOff>209550</xdr:colOff>
      <xdr:row>237</xdr:row>
      <xdr:rowOff>152400</xdr:rowOff>
    </xdr:from>
    <xdr:ext cx="1047750" cy="657860"/>
    <xdr:pic>
      <xdr:nvPicPr>
        <xdr:cNvPr id="28" name="Picture 27">
          <a:extLst>
            <a:ext uri="{FF2B5EF4-FFF2-40B4-BE49-F238E27FC236}">
              <a16:creationId xmlns:a16="http://schemas.microsoft.com/office/drawing/2014/main" id="{00000000-0008-0000-0C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5966400"/>
          <a:ext cx="1047750" cy="657860"/>
        </a:xfrm>
        <a:prstGeom prst="rect">
          <a:avLst/>
        </a:prstGeom>
      </xdr:spPr>
    </xdr:pic>
    <xdr:clientData/>
  </xdr:oneCellAnchor>
  <xdr:oneCellAnchor>
    <xdr:from>
      <xdr:col>17</xdr:col>
      <xdr:colOff>257175</xdr:colOff>
      <xdr:row>238</xdr:row>
      <xdr:rowOff>9525</xdr:rowOff>
    </xdr:from>
    <xdr:ext cx="1047750" cy="657860"/>
    <xdr:pic>
      <xdr:nvPicPr>
        <xdr:cNvPr id="29" name="Picture 28">
          <a:extLst>
            <a:ext uri="{FF2B5EF4-FFF2-40B4-BE49-F238E27FC236}">
              <a16:creationId xmlns:a16="http://schemas.microsoft.com/office/drawing/2014/main" id="{00000000-0008-0000-0C00-00001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36014025"/>
          <a:ext cx="1047750" cy="657860"/>
        </a:xfrm>
        <a:prstGeom prst="rect">
          <a:avLst/>
        </a:prstGeom>
      </xdr:spPr>
    </xdr:pic>
    <xdr:clientData/>
  </xdr:oneCellAnchor>
  <xdr:twoCellAnchor editAs="oneCell">
    <xdr:from>
      <xdr:col>1</xdr:col>
      <xdr:colOff>47625</xdr:colOff>
      <xdr:row>254</xdr:row>
      <xdr:rowOff>28576</xdr:rowOff>
    </xdr:from>
    <xdr:to>
      <xdr:col>20</xdr:col>
      <xdr:colOff>204</xdr:colOff>
      <xdr:row>268</xdr:row>
      <xdr:rowOff>3176</xdr:rowOff>
    </xdr:to>
    <xdr:pic>
      <xdr:nvPicPr>
        <xdr:cNvPr id="30" name="Picture 29">
          <a:extLst>
            <a:ext uri="{FF2B5EF4-FFF2-40B4-BE49-F238E27FC236}">
              <a16:creationId xmlns:a16="http://schemas.microsoft.com/office/drawing/2014/main" id="{00000000-0008-0000-0C00-00001E000000}"/>
            </a:ext>
          </a:extLst>
        </xdr:cNvPr>
        <xdr:cNvPicPr>
          <a:picLocks noChangeAspect="1"/>
        </xdr:cNvPicPr>
      </xdr:nvPicPr>
      <xdr:blipFill rotWithShape="1">
        <a:blip xmlns:r="http://schemas.openxmlformats.org/officeDocument/2006/relationships" r:embed="rId12"/>
        <a:srcRect l="15650" t="21053" r="12336" b="24904"/>
        <a:stretch/>
      </xdr:blipFill>
      <xdr:spPr>
        <a:xfrm>
          <a:off x="381000" y="48034576"/>
          <a:ext cx="6248604" cy="2641600"/>
        </a:xfrm>
        <a:prstGeom prst="rect">
          <a:avLst/>
        </a:prstGeom>
      </xdr:spPr>
    </xdr:pic>
    <xdr:clientData/>
  </xdr:twoCellAnchor>
  <xdr:twoCellAnchor editAs="oneCell">
    <xdr:from>
      <xdr:col>1</xdr:col>
      <xdr:colOff>1</xdr:colOff>
      <xdr:row>268</xdr:row>
      <xdr:rowOff>175564</xdr:rowOff>
    </xdr:from>
    <xdr:to>
      <xdr:col>16</xdr:col>
      <xdr:colOff>19050</xdr:colOff>
      <xdr:row>282</xdr:row>
      <xdr:rowOff>153922</xdr:rowOff>
    </xdr:to>
    <xdr:pic>
      <xdr:nvPicPr>
        <xdr:cNvPr id="31" name="Picture 30">
          <a:extLst>
            <a:ext uri="{FF2B5EF4-FFF2-40B4-BE49-F238E27FC236}">
              <a16:creationId xmlns:a16="http://schemas.microsoft.com/office/drawing/2014/main" id="{00000000-0008-0000-0C00-00001F000000}"/>
            </a:ext>
          </a:extLst>
        </xdr:cNvPr>
        <xdr:cNvPicPr>
          <a:picLocks noChangeAspect="1"/>
        </xdr:cNvPicPr>
      </xdr:nvPicPr>
      <xdr:blipFill rotWithShape="1">
        <a:blip xmlns:r="http://schemas.openxmlformats.org/officeDocument/2006/relationships" r:embed="rId13"/>
        <a:srcRect l="16691" t="30125" r="13909" b="6008"/>
        <a:stretch/>
      </xdr:blipFill>
      <xdr:spPr>
        <a:xfrm>
          <a:off x="333376" y="50848564"/>
          <a:ext cx="5019674" cy="2645358"/>
        </a:xfrm>
        <a:prstGeom prst="rect">
          <a:avLst/>
        </a:prstGeom>
      </xdr:spPr>
    </xdr:pic>
    <xdr:clientData/>
  </xdr:twoCellAnchor>
  <xdr:oneCellAnchor>
    <xdr:from>
      <xdr:col>0</xdr:col>
      <xdr:colOff>209550</xdr:colOff>
      <xdr:row>284</xdr:row>
      <xdr:rowOff>152400</xdr:rowOff>
    </xdr:from>
    <xdr:ext cx="1047750" cy="657860"/>
    <xdr:pic>
      <xdr:nvPicPr>
        <xdr:cNvPr id="32" name="Picture 31">
          <a:extLst>
            <a:ext uri="{FF2B5EF4-FFF2-40B4-BE49-F238E27FC236}">
              <a16:creationId xmlns:a16="http://schemas.microsoft.com/office/drawing/2014/main" id="{00000000-0008-0000-0C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4919900"/>
          <a:ext cx="1047750" cy="657860"/>
        </a:xfrm>
        <a:prstGeom prst="rect">
          <a:avLst/>
        </a:prstGeom>
      </xdr:spPr>
    </xdr:pic>
    <xdr:clientData/>
  </xdr:oneCellAnchor>
  <xdr:oneCellAnchor>
    <xdr:from>
      <xdr:col>17</xdr:col>
      <xdr:colOff>257175</xdr:colOff>
      <xdr:row>285</xdr:row>
      <xdr:rowOff>9525</xdr:rowOff>
    </xdr:from>
    <xdr:ext cx="1047750" cy="657860"/>
    <xdr:pic>
      <xdr:nvPicPr>
        <xdr:cNvPr id="33" name="Picture 32">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44967525"/>
          <a:ext cx="1047750" cy="657860"/>
        </a:xfrm>
        <a:prstGeom prst="rect">
          <a:avLst/>
        </a:prstGeom>
      </xdr:spPr>
    </xdr:pic>
    <xdr:clientData/>
  </xdr:oneCellAnchor>
  <xdr:twoCellAnchor editAs="oneCell">
    <xdr:from>
      <xdr:col>2</xdr:col>
      <xdr:colOff>160194</xdr:colOff>
      <xdr:row>292</xdr:row>
      <xdr:rowOff>148140</xdr:rowOff>
    </xdr:from>
    <xdr:to>
      <xdr:col>17</xdr:col>
      <xdr:colOff>64943</xdr:colOff>
      <xdr:row>301</xdr:row>
      <xdr:rowOff>120362</xdr:rowOff>
    </xdr:to>
    <xdr:pic>
      <xdr:nvPicPr>
        <xdr:cNvPr id="34" name="Picture 33">
          <a:extLst>
            <a:ext uri="{FF2B5EF4-FFF2-40B4-BE49-F238E27FC236}">
              <a16:creationId xmlns:a16="http://schemas.microsoft.com/office/drawing/2014/main" id="{00000000-0008-0000-0C00-000022000000}"/>
            </a:ext>
          </a:extLst>
        </xdr:cNvPr>
        <xdr:cNvPicPr>
          <a:picLocks noChangeAspect="1"/>
        </xdr:cNvPicPr>
      </xdr:nvPicPr>
      <xdr:blipFill rotWithShape="1">
        <a:blip xmlns:r="http://schemas.openxmlformats.org/officeDocument/2006/relationships" r:embed="rId14"/>
        <a:srcRect l="17718" t="19143" r="14996" b="39706"/>
        <a:stretch/>
      </xdr:blipFill>
      <xdr:spPr>
        <a:xfrm>
          <a:off x="835603" y="55012140"/>
          <a:ext cx="4970317" cy="1686722"/>
        </a:xfrm>
        <a:prstGeom prst="rect">
          <a:avLst/>
        </a:prstGeom>
      </xdr:spPr>
    </xdr:pic>
    <xdr:clientData/>
  </xdr:twoCellAnchor>
  <xdr:oneCellAnchor>
    <xdr:from>
      <xdr:col>0</xdr:col>
      <xdr:colOff>209550</xdr:colOff>
      <xdr:row>330</xdr:row>
      <xdr:rowOff>152400</xdr:rowOff>
    </xdr:from>
    <xdr:ext cx="1047750" cy="657860"/>
    <xdr:pic>
      <xdr:nvPicPr>
        <xdr:cNvPr id="37" name="Picture 36">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53873400"/>
          <a:ext cx="1047750" cy="657860"/>
        </a:xfrm>
        <a:prstGeom prst="rect">
          <a:avLst/>
        </a:prstGeom>
      </xdr:spPr>
    </xdr:pic>
    <xdr:clientData/>
  </xdr:oneCellAnchor>
  <xdr:oneCellAnchor>
    <xdr:from>
      <xdr:col>17</xdr:col>
      <xdr:colOff>257175</xdr:colOff>
      <xdr:row>331</xdr:row>
      <xdr:rowOff>9525</xdr:rowOff>
    </xdr:from>
    <xdr:ext cx="1047750" cy="657860"/>
    <xdr:pic>
      <xdr:nvPicPr>
        <xdr:cNvPr id="38" name="Picture 37">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53921025"/>
          <a:ext cx="1047750" cy="657860"/>
        </a:xfrm>
        <a:prstGeom prst="rect">
          <a:avLst/>
        </a:prstGeom>
      </xdr:spPr>
    </xdr:pic>
    <xdr:clientData/>
  </xdr:oneCellAnchor>
  <xdr:twoCellAnchor editAs="oneCell">
    <xdr:from>
      <xdr:col>1</xdr:col>
      <xdr:colOff>123825</xdr:colOff>
      <xdr:row>343</xdr:row>
      <xdr:rowOff>104775</xdr:rowOff>
    </xdr:from>
    <xdr:to>
      <xdr:col>11</xdr:col>
      <xdr:colOff>161925</xdr:colOff>
      <xdr:row>356</xdr:row>
      <xdr:rowOff>77470</xdr:rowOff>
    </xdr:to>
    <xdr:pic>
      <xdr:nvPicPr>
        <xdr:cNvPr id="39" name="Pictur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5"/>
        <a:stretch>
          <a:fillRect/>
        </a:stretch>
      </xdr:blipFill>
      <xdr:spPr>
        <a:xfrm>
          <a:off x="457200" y="65646300"/>
          <a:ext cx="3371850" cy="2449195"/>
        </a:xfrm>
        <a:prstGeom prst="rect">
          <a:avLst/>
        </a:prstGeom>
      </xdr:spPr>
    </xdr:pic>
    <xdr:clientData/>
  </xdr:twoCellAnchor>
  <xdr:twoCellAnchor editAs="oneCell">
    <xdr:from>
      <xdr:col>12</xdr:col>
      <xdr:colOff>28575</xdr:colOff>
      <xdr:row>343</xdr:row>
      <xdr:rowOff>38100</xdr:rowOff>
    </xdr:from>
    <xdr:to>
      <xdr:col>20</xdr:col>
      <xdr:colOff>294005</xdr:colOff>
      <xdr:row>356</xdr:row>
      <xdr:rowOff>30480</xdr:rowOff>
    </xdr:to>
    <xdr:pic>
      <xdr:nvPicPr>
        <xdr:cNvPr id="40" name="Picture 39">
          <a:extLst>
            <a:ext uri="{FF2B5EF4-FFF2-40B4-BE49-F238E27FC236}">
              <a16:creationId xmlns:a16="http://schemas.microsoft.com/office/drawing/2014/main" id="{00000000-0008-0000-0C00-000028000000}"/>
            </a:ext>
          </a:extLst>
        </xdr:cNvPr>
        <xdr:cNvPicPr/>
      </xdr:nvPicPr>
      <xdr:blipFill>
        <a:blip xmlns:r="http://schemas.openxmlformats.org/officeDocument/2006/relationships" r:embed="rId16"/>
        <a:stretch>
          <a:fillRect/>
        </a:stretch>
      </xdr:blipFill>
      <xdr:spPr>
        <a:xfrm>
          <a:off x="4029075" y="65579625"/>
          <a:ext cx="2970530" cy="2468880"/>
        </a:xfrm>
        <a:prstGeom prst="rect">
          <a:avLst/>
        </a:prstGeom>
      </xdr:spPr>
    </xdr:pic>
    <xdr:clientData/>
  </xdr:twoCellAnchor>
  <xdr:twoCellAnchor editAs="oneCell">
    <xdr:from>
      <xdr:col>6</xdr:col>
      <xdr:colOff>9525</xdr:colOff>
      <xdr:row>358</xdr:row>
      <xdr:rowOff>28575</xdr:rowOff>
    </xdr:from>
    <xdr:to>
      <xdr:col>16</xdr:col>
      <xdr:colOff>219075</xdr:colOff>
      <xdr:row>372</xdr:row>
      <xdr:rowOff>119380</xdr:rowOff>
    </xdr:to>
    <xdr:pic>
      <xdr:nvPicPr>
        <xdr:cNvPr id="41" name="Picture 40">
          <a:extLst>
            <a:ext uri="{FF2B5EF4-FFF2-40B4-BE49-F238E27FC236}">
              <a16:creationId xmlns:a16="http://schemas.microsoft.com/office/drawing/2014/main" id="{00000000-0008-0000-0C00-000029000000}"/>
            </a:ext>
          </a:extLst>
        </xdr:cNvPr>
        <xdr:cNvPicPr/>
      </xdr:nvPicPr>
      <xdr:blipFill rotWithShape="1">
        <a:blip xmlns:r="http://schemas.openxmlformats.org/officeDocument/2006/relationships" r:embed="rId17"/>
        <a:srcRect b="6961"/>
        <a:stretch/>
      </xdr:blipFill>
      <xdr:spPr bwMode="auto">
        <a:xfrm>
          <a:off x="2009775" y="68427600"/>
          <a:ext cx="3543300" cy="2757805"/>
        </a:xfrm>
        <a:prstGeom prst="rect">
          <a:avLst/>
        </a:prstGeom>
        <a:ln>
          <a:noFill/>
        </a:ln>
        <a:extLst>
          <a:ext uri="{53640926-AAD7-44D8-BBD7-CCE9431645EC}">
            <a14:shadowObscured xmlns:a14="http://schemas.microsoft.com/office/drawing/2010/main"/>
          </a:ext>
        </a:extLst>
      </xdr:spPr>
    </xdr:pic>
    <xdr:clientData/>
  </xdr:twoCellAnchor>
  <xdr:oneCellAnchor>
    <xdr:from>
      <xdr:col>0</xdr:col>
      <xdr:colOff>209550</xdr:colOff>
      <xdr:row>374</xdr:row>
      <xdr:rowOff>152400</xdr:rowOff>
    </xdr:from>
    <xdr:ext cx="1047750" cy="657860"/>
    <xdr:pic>
      <xdr:nvPicPr>
        <xdr:cNvPr id="42" name="Picture 41">
          <a:extLst>
            <a:ext uri="{FF2B5EF4-FFF2-40B4-BE49-F238E27FC236}">
              <a16:creationId xmlns:a16="http://schemas.microsoft.com/office/drawing/2014/main" id="{00000000-0008-0000-0C00-00002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62645925"/>
          <a:ext cx="1047750" cy="657860"/>
        </a:xfrm>
        <a:prstGeom prst="rect">
          <a:avLst/>
        </a:prstGeom>
      </xdr:spPr>
    </xdr:pic>
    <xdr:clientData/>
  </xdr:oneCellAnchor>
  <xdr:oneCellAnchor>
    <xdr:from>
      <xdr:col>17</xdr:col>
      <xdr:colOff>257175</xdr:colOff>
      <xdr:row>375</xdr:row>
      <xdr:rowOff>9525</xdr:rowOff>
    </xdr:from>
    <xdr:ext cx="1047750" cy="657860"/>
    <xdr:pic>
      <xdr:nvPicPr>
        <xdr:cNvPr id="43" name="Picture 42">
          <a:extLst>
            <a:ext uri="{FF2B5EF4-FFF2-40B4-BE49-F238E27FC236}">
              <a16:creationId xmlns:a16="http://schemas.microsoft.com/office/drawing/2014/main" id="{00000000-0008-0000-0C00-00002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62693550"/>
          <a:ext cx="1047750" cy="657860"/>
        </a:xfrm>
        <a:prstGeom prst="rect">
          <a:avLst/>
        </a:prstGeom>
      </xdr:spPr>
    </xdr:pic>
    <xdr:clientData/>
  </xdr:oneCellAnchor>
  <xdr:twoCellAnchor editAs="oneCell">
    <xdr:from>
      <xdr:col>1</xdr:col>
      <xdr:colOff>104775</xdr:colOff>
      <xdr:row>407</xdr:row>
      <xdr:rowOff>85725</xdr:rowOff>
    </xdr:from>
    <xdr:to>
      <xdr:col>9</xdr:col>
      <xdr:colOff>0</xdr:colOff>
      <xdr:row>409</xdr:row>
      <xdr:rowOff>171450</xdr:rowOff>
    </xdr:to>
    <xdr:pic>
      <xdr:nvPicPr>
        <xdr:cNvPr id="44" name="Picture 43">
          <a:extLst>
            <a:ext uri="{FF2B5EF4-FFF2-40B4-BE49-F238E27FC236}">
              <a16:creationId xmlns:a16="http://schemas.microsoft.com/office/drawing/2014/main" id="{00000000-0008-0000-0C00-00002C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8150" y="77819250"/>
          <a:ext cx="2552700" cy="466725"/>
        </a:xfrm>
        <a:prstGeom prst="rect">
          <a:avLst/>
        </a:prstGeom>
        <a:noFill/>
        <a:ln>
          <a:noFill/>
        </a:ln>
      </xdr:spPr>
    </xdr:pic>
    <xdr:clientData/>
  </xdr:twoCellAnchor>
  <xdr:oneCellAnchor>
    <xdr:from>
      <xdr:col>0</xdr:col>
      <xdr:colOff>209550</xdr:colOff>
      <xdr:row>421</xdr:row>
      <xdr:rowOff>152400</xdr:rowOff>
    </xdr:from>
    <xdr:ext cx="1047750" cy="657860"/>
    <xdr:pic>
      <xdr:nvPicPr>
        <xdr:cNvPr id="45" name="Picture 44">
          <a:extLst>
            <a:ext uri="{FF2B5EF4-FFF2-40B4-BE49-F238E27FC236}">
              <a16:creationId xmlns:a16="http://schemas.microsoft.com/office/drawing/2014/main" id="{00000000-0008-0000-0C00-00002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71599425"/>
          <a:ext cx="1047750" cy="657860"/>
        </a:xfrm>
        <a:prstGeom prst="rect">
          <a:avLst/>
        </a:prstGeom>
      </xdr:spPr>
    </xdr:pic>
    <xdr:clientData/>
  </xdr:oneCellAnchor>
  <xdr:oneCellAnchor>
    <xdr:from>
      <xdr:col>17</xdr:col>
      <xdr:colOff>257175</xdr:colOff>
      <xdr:row>422</xdr:row>
      <xdr:rowOff>9525</xdr:rowOff>
    </xdr:from>
    <xdr:ext cx="1047750" cy="657860"/>
    <xdr:pic>
      <xdr:nvPicPr>
        <xdr:cNvPr id="46" name="Picture 45">
          <a:extLst>
            <a:ext uri="{FF2B5EF4-FFF2-40B4-BE49-F238E27FC236}">
              <a16:creationId xmlns:a16="http://schemas.microsoft.com/office/drawing/2014/main" id="{00000000-0008-0000-0C00-00002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71647050"/>
          <a:ext cx="1047750" cy="657860"/>
        </a:xfrm>
        <a:prstGeom prst="rect">
          <a:avLst/>
        </a:prstGeom>
      </xdr:spPr>
    </xdr:pic>
    <xdr:clientData/>
  </xdr:oneCellAnchor>
  <xdr:twoCellAnchor editAs="oneCell">
    <xdr:from>
      <xdr:col>1</xdr:col>
      <xdr:colOff>104775</xdr:colOff>
      <xdr:row>429</xdr:row>
      <xdr:rowOff>85725</xdr:rowOff>
    </xdr:from>
    <xdr:to>
      <xdr:col>9</xdr:col>
      <xdr:colOff>276225</xdr:colOff>
      <xdr:row>432</xdr:row>
      <xdr:rowOff>84455</xdr:rowOff>
    </xdr:to>
    <xdr:pic>
      <xdr:nvPicPr>
        <xdr:cNvPr id="47" name="Picture 46">
          <a:extLst>
            <a:ext uri="{FF2B5EF4-FFF2-40B4-BE49-F238E27FC236}">
              <a16:creationId xmlns:a16="http://schemas.microsoft.com/office/drawing/2014/main" id="{00000000-0008-0000-0C00-00002F000000}"/>
            </a:ext>
          </a:extLst>
        </xdr:cNvPr>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8150" y="82010250"/>
          <a:ext cx="2838450" cy="570230"/>
        </a:xfrm>
        <a:prstGeom prst="rect">
          <a:avLst/>
        </a:prstGeom>
        <a:noFill/>
        <a:ln>
          <a:noFill/>
        </a:ln>
      </xdr:spPr>
    </xdr:pic>
    <xdr:clientData/>
  </xdr:twoCellAnchor>
  <xdr:twoCellAnchor editAs="oneCell">
    <xdr:from>
      <xdr:col>1</xdr:col>
      <xdr:colOff>114300</xdr:colOff>
      <xdr:row>433</xdr:row>
      <xdr:rowOff>38100</xdr:rowOff>
    </xdr:from>
    <xdr:to>
      <xdr:col>8</xdr:col>
      <xdr:colOff>92075</xdr:colOff>
      <xdr:row>435</xdr:row>
      <xdr:rowOff>166370</xdr:rowOff>
    </xdr:to>
    <xdr:pic>
      <xdr:nvPicPr>
        <xdr:cNvPr id="48" name="Picture 47">
          <a:extLst>
            <a:ext uri="{FF2B5EF4-FFF2-40B4-BE49-F238E27FC236}">
              <a16:creationId xmlns:a16="http://schemas.microsoft.com/office/drawing/2014/main" id="{00000000-0008-0000-0C00-000030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7675" y="82724625"/>
          <a:ext cx="2311400" cy="509270"/>
        </a:xfrm>
        <a:prstGeom prst="rect">
          <a:avLst/>
        </a:prstGeom>
        <a:noFill/>
        <a:ln>
          <a:noFill/>
        </a:ln>
      </xdr:spPr>
    </xdr:pic>
    <xdr:clientData/>
  </xdr:twoCellAnchor>
  <xdr:twoCellAnchor editAs="oneCell">
    <xdr:from>
      <xdr:col>1</xdr:col>
      <xdr:colOff>238125</xdr:colOff>
      <xdr:row>461</xdr:row>
      <xdr:rowOff>66675</xdr:rowOff>
    </xdr:from>
    <xdr:to>
      <xdr:col>6</xdr:col>
      <xdr:colOff>28575</xdr:colOff>
      <xdr:row>467</xdr:row>
      <xdr:rowOff>90805</xdr:rowOff>
    </xdr:to>
    <xdr:pic>
      <xdr:nvPicPr>
        <xdr:cNvPr id="49" name="Picture 48">
          <a:extLst>
            <a:ext uri="{FF2B5EF4-FFF2-40B4-BE49-F238E27FC236}">
              <a16:creationId xmlns:a16="http://schemas.microsoft.com/office/drawing/2014/main" id="{00000000-0008-0000-0C00-000031000000}"/>
            </a:ext>
          </a:extLst>
        </xdr:cNvPr>
        <xdr:cNvPicPr/>
      </xdr:nvPicPr>
      <xdr:blipFill>
        <a:blip xmlns:r="http://schemas.openxmlformats.org/officeDocument/2006/relationships" r:embed="rId21"/>
        <a:stretch>
          <a:fillRect/>
        </a:stretch>
      </xdr:blipFill>
      <xdr:spPr>
        <a:xfrm>
          <a:off x="571500" y="88087200"/>
          <a:ext cx="1457325" cy="1167130"/>
        </a:xfrm>
        <a:prstGeom prst="rect">
          <a:avLst/>
        </a:prstGeom>
      </xdr:spPr>
    </xdr:pic>
    <xdr:clientData/>
  </xdr:twoCellAnchor>
  <xdr:oneCellAnchor>
    <xdr:from>
      <xdr:col>0</xdr:col>
      <xdr:colOff>209550</xdr:colOff>
      <xdr:row>468</xdr:row>
      <xdr:rowOff>152400</xdr:rowOff>
    </xdr:from>
    <xdr:ext cx="1047750" cy="657860"/>
    <xdr:pic>
      <xdr:nvPicPr>
        <xdr:cNvPr id="50" name="Picture 49">
          <a:extLst>
            <a:ext uri="{FF2B5EF4-FFF2-40B4-BE49-F238E27FC236}">
              <a16:creationId xmlns:a16="http://schemas.microsoft.com/office/drawing/2014/main" id="{00000000-0008-0000-0C00-00003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552925"/>
          <a:ext cx="1047750" cy="657860"/>
        </a:xfrm>
        <a:prstGeom prst="rect">
          <a:avLst/>
        </a:prstGeom>
      </xdr:spPr>
    </xdr:pic>
    <xdr:clientData/>
  </xdr:oneCellAnchor>
  <xdr:oneCellAnchor>
    <xdr:from>
      <xdr:col>17</xdr:col>
      <xdr:colOff>257175</xdr:colOff>
      <xdr:row>469</xdr:row>
      <xdr:rowOff>9525</xdr:rowOff>
    </xdr:from>
    <xdr:ext cx="1047750" cy="657860"/>
    <xdr:pic>
      <xdr:nvPicPr>
        <xdr:cNvPr id="51" name="Picture 50">
          <a:extLst>
            <a:ext uri="{FF2B5EF4-FFF2-40B4-BE49-F238E27FC236}">
              <a16:creationId xmlns:a16="http://schemas.microsoft.com/office/drawing/2014/main" id="{00000000-0008-0000-0C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80600550"/>
          <a:ext cx="1047750" cy="657860"/>
        </a:xfrm>
        <a:prstGeom prst="rect">
          <a:avLst/>
        </a:prstGeom>
      </xdr:spPr>
    </xdr:pic>
    <xdr:clientData/>
  </xdr:oneCellAnchor>
  <xdr:twoCellAnchor editAs="oneCell">
    <xdr:from>
      <xdr:col>2</xdr:col>
      <xdr:colOff>123825</xdr:colOff>
      <xdr:row>476</xdr:row>
      <xdr:rowOff>47625</xdr:rowOff>
    </xdr:from>
    <xdr:to>
      <xdr:col>10</xdr:col>
      <xdr:colOff>95885</xdr:colOff>
      <xdr:row>488</xdr:row>
      <xdr:rowOff>130175</xdr:rowOff>
    </xdr:to>
    <xdr:pic>
      <xdr:nvPicPr>
        <xdr:cNvPr id="52" name="Picture 51">
          <a:extLst>
            <a:ext uri="{FF2B5EF4-FFF2-40B4-BE49-F238E27FC236}">
              <a16:creationId xmlns:a16="http://schemas.microsoft.com/office/drawing/2014/main" id="{00000000-0008-0000-0C00-000034000000}"/>
            </a:ext>
          </a:extLst>
        </xdr:cNvPr>
        <xdr:cNvPicPr/>
      </xdr:nvPicPr>
      <xdr:blipFill>
        <a:blip xmlns:r="http://schemas.openxmlformats.org/officeDocument/2006/relationships" r:embed="rId22"/>
        <a:stretch>
          <a:fillRect/>
        </a:stretch>
      </xdr:blipFill>
      <xdr:spPr>
        <a:xfrm>
          <a:off x="790575" y="90925650"/>
          <a:ext cx="2639060" cy="2368550"/>
        </a:xfrm>
        <a:prstGeom prst="rect">
          <a:avLst/>
        </a:prstGeom>
      </xdr:spPr>
    </xdr:pic>
    <xdr:clientData/>
  </xdr:twoCellAnchor>
  <xdr:twoCellAnchor editAs="oneCell">
    <xdr:from>
      <xdr:col>2</xdr:col>
      <xdr:colOff>296573</xdr:colOff>
      <xdr:row>83</xdr:row>
      <xdr:rowOff>110403</xdr:rowOff>
    </xdr:from>
    <xdr:to>
      <xdr:col>12</xdr:col>
      <xdr:colOff>272760</xdr:colOff>
      <xdr:row>90</xdr:row>
      <xdr:rowOff>86591</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3"/>
        <a:srcRect l="16896" t="49190" r="57577" b="32904"/>
        <a:stretch/>
      </xdr:blipFill>
      <xdr:spPr>
        <a:xfrm>
          <a:off x="971982" y="15921903"/>
          <a:ext cx="3353233" cy="1309688"/>
        </a:xfrm>
        <a:prstGeom prst="rect">
          <a:avLst/>
        </a:prstGeom>
      </xdr:spPr>
    </xdr:pic>
    <xdr:clientData/>
  </xdr:twoCellAnchor>
  <xdr:oneCellAnchor>
    <xdr:from>
      <xdr:col>1</xdr:col>
      <xdr:colOff>123825</xdr:colOff>
      <xdr:row>55</xdr:row>
      <xdr:rowOff>119062</xdr:rowOff>
    </xdr:from>
    <xdr:ext cx="345607"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𝑡</m:t>
                        </m:r>
                      </m:sub>
                    </m:sSub>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419100" y="10596562"/>
              <a:ext cx="3456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𝑊_𝑡=</a:t>
              </a:r>
              <a:endParaRPr lang="en-US" sz="1100"/>
            </a:p>
          </xdr:txBody>
        </xdr:sp>
      </mc:Fallback>
    </mc:AlternateContent>
    <xdr:clientData/>
  </xdr:oneCellAnchor>
  <xdr:oneCellAnchor>
    <xdr:from>
      <xdr:col>10</xdr:col>
      <xdr:colOff>161925</xdr:colOff>
      <xdr:row>59</xdr:row>
      <xdr:rowOff>109537</xdr:rowOff>
    </xdr:from>
    <xdr:ext cx="150041"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3114675" y="113490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238125</xdr:colOff>
      <xdr:row>57</xdr:row>
      <xdr:rowOff>100012</xdr:rowOff>
    </xdr:from>
    <xdr:ext cx="150041"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4" name="TextBox 13"/>
            <xdr:cNvSpPr txBox="1"/>
          </xdr:nvSpPr>
          <xdr:spPr>
            <a:xfrm>
              <a:off x="1419225" y="109585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200025</xdr:colOff>
      <xdr:row>61</xdr:row>
      <xdr:rowOff>119062</xdr:rowOff>
    </xdr:from>
    <xdr:ext cx="150041"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6" name="TextBox 25"/>
            <xdr:cNvSpPr txBox="1"/>
          </xdr:nvSpPr>
          <xdr:spPr>
            <a:xfrm>
              <a:off x="1381125" y="117395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6</xdr:col>
      <xdr:colOff>47625</xdr:colOff>
      <xdr:row>63</xdr:row>
      <xdr:rowOff>23812</xdr:rowOff>
    </xdr:from>
    <xdr:ext cx="150041" cy="172227"/>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35" name="TextBox 34"/>
            <xdr:cNvSpPr txBox="1"/>
          </xdr:nvSpPr>
          <xdr:spPr>
            <a:xfrm>
              <a:off x="1819275" y="1202531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95250</xdr:colOff>
      <xdr:row>64</xdr:row>
      <xdr:rowOff>14287</xdr:rowOff>
    </xdr:from>
    <xdr:ext cx="199029" cy="175369"/>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100" i="1">
                            <a:latin typeface="Cambria Math" panose="02040503050406030204" pitchFamily="18" charset="0"/>
                          </a:rPr>
                        </m:ctrlPr>
                      </m:sSupPr>
                      <m:e>
                        <m:r>
                          <a:rPr lang="en-US" sz="1100" b="0" i="1">
                            <a:latin typeface="Cambria Math" panose="02040503050406030204" pitchFamily="18" charset="0"/>
                          </a:rPr>
                          <m:t>𝐷</m:t>
                        </m:r>
                      </m:e>
                      <m:sup>
                        <m:r>
                          <a:rPr lang="en-US" sz="1100" b="0" i="1">
                            <a:latin typeface="Cambria Math" panose="02040503050406030204" pitchFamily="18" charset="0"/>
                          </a:rPr>
                          <m:t>2</m:t>
                        </m:r>
                      </m:sup>
                    </m:sSup>
                  </m:oMath>
                </m:oMathPara>
              </a14:m>
              <a:endParaRPr lang="en-US" sz="1100"/>
            </a:p>
          </xdr:txBody>
        </xdr:sp>
      </mc:Choice>
      <mc:Fallback xmlns="">
        <xdr:sp macro="" textlink="">
          <xdr:nvSpPr>
            <xdr:cNvPr id="36" name="TextBox 35"/>
            <xdr:cNvSpPr txBox="1"/>
          </xdr:nvSpPr>
          <xdr:spPr>
            <a:xfrm>
              <a:off x="1276350" y="12206287"/>
              <a:ext cx="19902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𝐷^2</a:t>
              </a:r>
              <a:endParaRPr lang="en-US" sz="1100"/>
            </a:p>
          </xdr:txBody>
        </xdr:sp>
      </mc:Fallback>
    </mc:AlternateContent>
    <xdr:clientData/>
  </xdr:oneCellAnchor>
  <xdr:oneCellAnchor>
    <xdr:from>
      <xdr:col>6</xdr:col>
      <xdr:colOff>57150</xdr:colOff>
      <xdr:row>64</xdr:row>
      <xdr:rowOff>4762</xdr:rowOff>
    </xdr:from>
    <xdr:ext cx="150041"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5" name="TextBox 54"/>
            <xdr:cNvSpPr txBox="1"/>
          </xdr:nvSpPr>
          <xdr:spPr>
            <a:xfrm>
              <a:off x="182880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4</xdr:col>
      <xdr:colOff>19050</xdr:colOff>
      <xdr:row>65</xdr:row>
      <xdr:rowOff>4762</xdr:rowOff>
    </xdr:from>
    <xdr:ext cx="303994"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𝑖𝑛𝑡</m:t>
                        </m:r>
                      </m:sub>
                    </m:sSub>
                  </m:oMath>
                </m:oMathPara>
              </a14:m>
              <a:endParaRPr lang="en-US" sz="1100"/>
            </a:p>
          </xdr:txBody>
        </xdr:sp>
      </mc:Choice>
      <mc:Fallback xmlns="">
        <xdr:sp macro="" textlink="">
          <xdr:nvSpPr>
            <xdr:cNvPr id="56" name="TextBox 55"/>
            <xdr:cNvSpPr txBox="1"/>
          </xdr:nvSpPr>
          <xdr:spPr>
            <a:xfrm>
              <a:off x="1200150" y="12387262"/>
              <a:ext cx="30399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𝑊_𝑖𝑛𝑡</a:t>
              </a:r>
              <a:endParaRPr lang="en-US" sz="1100"/>
            </a:p>
          </xdr:txBody>
        </xdr:sp>
      </mc:Fallback>
    </mc:AlternateContent>
    <xdr:clientData/>
  </xdr:oneCellAnchor>
  <xdr:oneCellAnchor>
    <xdr:from>
      <xdr:col>6</xdr:col>
      <xdr:colOff>66675</xdr:colOff>
      <xdr:row>65</xdr:row>
      <xdr:rowOff>14287</xdr:rowOff>
    </xdr:from>
    <xdr:ext cx="150041"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7" name="TextBox 56"/>
            <xdr:cNvSpPr txBox="1"/>
          </xdr:nvSpPr>
          <xdr:spPr>
            <a:xfrm>
              <a:off x="1838325" y="123967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9</xdr:col>
      <xdr:colOff>28575</xdr:colOff>
      <xdr:row>64</xdr:row>
      <xdr:rowOff>4762</xdr:rowOff>
    </xdr:from>
    <xdr:ext cx="150041" cy="172227"/>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8" name="TextBox 57"/>
            <xdr:cNvSpPr txBox="1"/>
          </xdr:nvSpPr>
          <xdr:spPr>
            <a:xfrm>
              <a:off x="2686050" y="121967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40216</xdr:colOff>
      <xdr:row>65</xdr:row>
      <xdr:rowOff>152400</xdr:rowOff>
    </xdr:from>
    <xdr:to>
      <xdr:col>16</xdr:col>
      <xdr:colOff>232833</xdr:colOff>
      <xdr:row>68</xdr:row>
      <xdr:rowOff>27118</xdr:rowOff>
    </xdr:to>
    <xdr:pic>
      <xdr:nvPicPr>
        <xdr:cNvPr id="59" name="Picture 58">
          <a:extLst>
            <a:ext uri="{FF2B5EF4-FFF2-40B4-BE49-F238E27FC236}">
              <a16:creationId xmlns:a16="http://schemas.microsoft.com/office/drawing/2014/main" id="{00000000-0008-0000-0C00-00003B000000}"/>
            </a:ext>
          </a:extLst>
        </xdr:cNvPr>
        <xdr:cNvPicPr>
          <a:picLocks noChangeAspect="1"/>
        </xdr:cNvPicPr>
      </xdr:nvPicPr>
      <xdr:blipFill rotWithShape="1">
        <a:blip xmlns:r="http://schemas.openxmlformats.org/officeDocument/2006/relationships" r:embed="rId24"/>
        <a:srcRect l="26247" t="42453" r="34238" b="50775"/>
        <a:stretch/>
      </xdr:blipFill>
      <xdr:spPr>
        <a:xfrm>
          <a:off x="336549" y="12534900"/>
          <a:ext cx="4637617" cy="446218"/>
        </a:xfrm>
        <a:prstGeom prst="rect">
          <a:avLst/>
        </a:prstGeom>
      </xdr:spPr>
    </xdr:pic>
    <xdr:clientData/>
  </xdr:twoCellAnchor>
  <xdr:oneCellAnchor>
    <xdr:from>
      <xdr:col>15</xdr:col>
      <xdr:colOff>209550</xdr:colOff>
      <xdr:row>72</xdr:row>
      <xdr:rowOff>109537</xdr:rowOff>
    </xdr:from>
    <xdr:ext cx="150041" cy="1722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63" name="TextBox 62"/>
            <xdr:cNvSpPr txBox="1"/>
          </xdr:nvSpPr>
          <xdr:spPr>
            <a:xfrm>
              <a:off x="4638675" y="1382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twoCellAnchor editAs="oneCell">
    <xdr:from>
      <xdr:col>1</xdr:col>
      <xdr:colOff>95249</xdr:colOff>
      <xdr:row>76</xdr:row>
      <xdr:rowOff>38100</xdr:rowOff>
    </xdr:from>
    <xdr:to>
      <xdr:col>9</xdr:col>
      <xdr:colOff>104774</xdr:colOff>
      <xdr:row>82</xdr:row>
      <xdr:rowOff>38100</xdr:rowOff>
    </xdr:to>
    <xdr:pic>
      <xdr:nvPicPr>
        <xdr:cNvPr id="65" name="Picture 64">
          <a:extLst>
            <a:ext uri="{FF2B5EF4-FFF2-40B4-BE49-F238E27FC236}">
              <a16:creationId xmlns:a16="http://schemas.microsoft.com/office/drawing/2014/main" id="{00000000-0008-0000-0C00-000041000000}"/>
            </a:ext>
          </a:extLst>
        </xdr:cNvPr>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90524" y="14516100"/>
          <a:ext cx="2371725" cy="1143000"/>
        </a:xfrm>
        <a:prstGeom prst="rect">
          <a:avLst/>
        </a:prstGeom>
        <a:noFill/>
        <a:ln>
          <a:noFill/>
        </a:ln>
      </xdr:spPr>
    </xdr:pic>
    <xdr:clientData/>
  </xdr:twoCellAnchor>
  <xdr:oneCellAnchor>
    <xdr:from>
      <xdr:col>1</xdr:col>
      <xdr:colOff>171450</xdr:colOff>
      <xdr:row>128</xdr:row>
      <xdr:rowOff>109537</xdr:rowOff>
    </xdr:from>
    <xdr:ext cx="307713" cy="172227"/>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C00-000043000000}"/>
                </a:ext>
              </a:extLst>
            </xdr:cNvPr>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m:t>
                        </m:r>
                      </m:sub>
                    </m:sSub>
                    <m:r>
                      <a:rPr lang="en-US" sz="1100" b="0" i="1">
                        <a:latin typeface="Cambria Math" panose="02040503050406030204" pitchFamily="18" charset="0"/>
                      </a:rPr>
                      <m:t>=</m:t>
                    </m:r>
                  </m:oMath>
                </m:oMathPara>
              </a14:m>
              <a:endParaRPr lang="en-US" sz="1100"/>
            </a:p>
          </xdr:txBody>
        </xdr:sp>
      </mc:Choice>
      <mc:Fallback xmlns="">
        <xdr:sp macro="" textlink="">
          <xdr:nvSpPr>
            <xdr:cNvPr id="67" name="TextBox 66"/>
            <xdr:cNvSpPr txBox="1"/>
          </xdr:nvSpPr>
          <xdr:spPr>
            <a:xfrm>
              <a:off x="466725" y="24493537"/>
              <a:ext cx="30771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a:t>
              </a:r>
              <a:endParaRPr lang="en-US" sz="1100"/>
            </a:p>
          </xdr:txBody>
        </xdr:sp>
      </mc:Fallback>
    </mc:AlternateContent>
    <xdr:clientData/>
  </xdr:oneCellAnchor>
  <xdr:oneCellAnchor>
    <xdr:from>
      <xdr:col>13</xdr:col>
      <xdr:colOff>66675</xdr:colOff>
      <xdr:row>203</xdr:row>
      <xdr:rowOff>90487</xdr:rowOff>
    </xdr:from>
    <xdr:ext cx="150041" cy="1722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12" name="TextBox 11"/>
            <xdr:cNvSpPr txBox="1"/>
          </xdr:nvSpPr>
          <xdr:spPr>
            <a:xfrm>
              <a:off x="3905250" y="387619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xdr:col>
      <xdr:colOff>190500</xdr:colOff>
      <xdr:row>206</xdr:row>
      <xdr:rowOff>80962</xdr:rowOff>
    </xdr:from>
    <xdr:ext cx="289375" cy="172227"/>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3" name="TextBox 52"/>
            <xdr:cNvSpPr txBox="1"/>
          </xdr:nvSpPr>
          <xdr:spPr>
            <a:xfrm>
              <a:off x="485775" y="39323962"/>
              <a:ext cx="28937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𝑉_𝑠=</a:t>
              </a:r>
              <a:endParaRPr lang="en-US" sz="1100"/>
            </a:p>
          </xdr:txBody>
        </xdr:sp>
      </mc:Fallback>
    </mc:AlternateContent>
    <xdr:clientData/>
  </xdr:oneCellAnchor>
  <xdr:twoCellAnchor editAs="oneCell">
    <xdr:from>
      <xdr:col>28</xdr:col>
      <xdr:colOff>404812</xdr:colOff>
      <xdr:row>83</xdr:row>
      <xdr:rowOff>119063</xdr:rowOff>
    </xdr:from>
    <xdr:to>
      <xdr:col>35</xdr:col>
      <xdr:colOff>23812</xdr:colOff>
      <xdr:row>88</xdr:row>
      <xdr:rowOff>166689</xdr:rowOff>
    </xdr:to>
    <xdr:pic>
      <xdr:nvPicPr>
        <xdr:cNvPr id="54" name="Picture 53">
          <a:extLst>
            <a:ext uri="{FF2B5EF4-FFF2-40B4-BE49-F238E27FC236}">
              <a16:creationId xmlns:a16="http://schemas.microsoft.com/office/drawing/2014/main" id="{00000000-0008-0000-0C00-000036000000}"/>
            </a:ext>
          </a:extLst>
        </xdr:cNvPr>
        <xdr:cNvPicPr>
          <a:picLocks noChangeAspect="1"/>
        </xdr:cNvPicPr>
      </xdr:nvPicPr>
      <xdr:blipFill rotWithShape="1">
        <a:blip xmlns:r="http://schemas.openxmlformats.org/officeDocument/2006/relationships" r:embed="rId26"/>
        <a:srcRect l="15608" t="41021" r="54265" b="45305"/>
        <a:stretch/>
      </xdr:blipFill>
      <xdr:spPr>
        <a:xfrm>
          <a:off x="10406062" y="15930563"/>
          <a:ext cx="3952875" cy="1000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19</xdr:row>
      <xdr:rowOff>152400</xdr:rowOff>
    </xdr:from>
    <xdr:to>
      <xdr:col>5</xdr:col>
      <xdr:colOff>162791</xdr:colOff>
      <xdr:row>23</xdr:row>
      <xdr:rowOff>85725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342900" y="3971925"/>
          <a:ext cx="1628775" cy="695325"/>
        </a:xfrm>
        <a:prstGeom prst="rect">
          <a:avLst/>
        </a:prstGeom>
      </xdr:spPr>
    </xdr:pic>
    <xdr:clientData/>
  </xdr:twoCellAnchor>
  <xdr:twoCellAnchor editAs="oneCell">
    <xdr:from>
      <xdr:col>0</xdr:col>
      <xdr:colOff>295275</xdr:colOff>
      <xdr:row>31</xdr:row>
      <xdr:rowOff>152400</xdr:rowOff>
    </xdr:from>
    <xdr:to>
      <xdr:col>16</xdr:col>
      <xdr:colOff>120361</xdr:colOff>
      <xdr:row>33</xdr:row>
      <xdr:rowOff>19050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stretch>
          <a:fillRect/>
        </a:stretch>
      </xdr:blipFill>
      <xdr:spPr>
        <a:xfrm>
          <a:off x="295275" y="6257925"/>
          <a:ext cx="5781675" cy="247650"/>
        </a:xfrm>
        <a:prstGeom prst="rect">
          <a:avLst/>
        </a:prstGeom>
      </xdr:spPr>
    </xdr:pic>
    <xdr:clientData/>
  </xdr:twoCellAnchor>
  <xdr:twoCellAnchor editAs="oneCell">
    <xdr:from>
      <xdr:col>1</xdr:col>
      <xdr:colOff>181841</xdr:colOff>
      <xdr:row>24</xdr:row>
      <xdr:rowOff>112568</xdr:rowOff>
    </xdr:from>
    <xdr:to>
      <xdr:col>15</xdr:col>
      <xdr:colOff>866</xdr:colOff>
      <xdr:row>30</xdr:row>
      <xdr:rowOff>82320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36864" y="4883727"/>
          <a:ext cx="5048250" cy="1112752"/>
        </a:xfrm>
        <a:prstGeom prst="rect">
          <a:avLst/>
        </a:prstGeom>
      </xdr:spPr>
    </xdr:pic>
    <xdr:clientData/>
  </xdr:twoCellAnchor>
  <xdr:twoCellAnchor editAs="oneCell">
    <xdr:from>
      <xdr:col>3</xdr:col>
      <xdr:colOff>18489</xdr:colOff>
      <xdr:row>72</xdr:row>
      <xdr:rowOff>151840</xdr:rowOff>
    </xdr:from>
    <xdr:to>
      <xdr:col>18</xdr:col>
      <xdr:colOff>103349</xdr:colOff>
      <xdr:row>84</xdr:row>
      <xdr:rowOff>2011775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1161489" y="14383311"/>
          <a:ext cx="5904635" cy="4145935"/>
        </a:xfrm>
        <a:prstGeom prst="rect">
          <a:avLst/>
        </a:prstGeom>
      </xdr:spPr>
    </xdr:pic>
    <xdr:clientData/>
  </xdr:twoCellAnchor>
  <xdr:oneCellAnchor>
    <xdr:from>
      <xdr:col>0</xdr:col>
      <xdr:colOff>291353</xdr:colOff>
      <xdr:row>0</xdr:row>
      <xdr:rowOff>179294</xdr:rowOff>
    </xdr:from>
    <xdr:ext cx="1191521" cy="901289"/>
    <xdr:pic>
      <xdr:nvPicPr>
        <xdr:cNvPr id="7" name="Picture 6" descr="oilco">
          <a:extLst>
            <a:ext uri="{FF2B5EF4-FFF2-40B4-BE49-F238E27FC236}">
              <a16:creationId xmlns:a16="http://schemas.microsoft.com/office/drawing/2014/main" id="{F5DC348B-E083-48DB-8456-752E878A33DF}"/>
            </a:ext>
          </a:extLst>
        </xdr:cNvPr>
        <xdr:cNvPicPr/>
      </xdr:nvPicPr>
      <xdr:blipFill>
        <a:blip xmlns:r="http://schemas.openxmlformats.org/officeDocument/2006/relationships" r:embed="rId5" cstate="print"/>
        <a:srcRect/>
        <a:stretch>
          <a:fillRect/>
        </a:stretch>
      </xdr:blipFill>
      <xdr:spPr bwMode="auto">
        <a:xfrm>
          <a:off x="291353" y="43415174"/>
          <a:ext cx="1191521" cy="901289"/>
        </a:xfrm>
        <a:prstGeom prst="rect">
          <a:avLst/>
        </a:prstGeom>
        <a:noFill/>
        <a:ln w="9525">
          <a:noFill/>
          <a:miter lim="800000"/>
          <a:headEnd/>
          <a:tailEnd/>
        </a:ln>
      </xdr:spPr>
    </xdr:pic>
    <xdr:clientData/>
  </xdr:oneCellAnchor>
  <xdr:oneCellAnchor>
    <xdr:from>
      <xdr:col>17</xdr:col>
      <xdr:colOff>107119</xdr:colOff>
      <xdr:row>0</xdr:row>
      <xdr:rowOff>130435</xdr:rowOff>
    </xdr:from>
    <xdr:ext cx="1526682" cy="519281"/>
    <xdr:pic>
      <xdr:nvPicPr>
        <xdr:cNvPr id="10" name="Picture 9">
          <a:extLst>
            <a:ext uri="{FF2B5EF4-FFF2-40B4-BE49-F238E27FC236}">
              <a16:creationId xmlns:a16="http://schemas.microsoft.com/office/drawing/2014/main" id="{ADB7EBA9-D8E3-447A-96D4-B5B48B10C03D}"/>
            </a:ext>
          </a:extLst>
        </xdr:cNvPr>
        <xdr:cNvPicPr>
          <a:picLocks noChangeAspect="1"/>
        </xdr:cNvPicPr>
      </xdr:nvPicPr>
      <xdr:blipFill rotWithShape="1">
        <a:blip xmlns:r="http://schemas.openxmlformats.org/officeDocument/2006/relationships" r:embed="rId6"/>
        <a:srcRect b="49004"/>
        <a:stretch/>
      </xdr:blipFill>
      <xdr:spPr>
        <a:xfrm>
          <a:off x="5764969" y="130435"/>
          <a:ext cx="1526682" cy="519281"/>
        </a:xfrm>
        <a:prstGeom prst="rect">
          <a:avLst/>
        </a:prstGeom>
      </xdr:spPr>
    </xdr:pic>
    <xdr:clientData/>
  </xdr:oneCellAnchor>
  <xdr:oneCellAnchor>
    <xdr:from>
      <xdr:col>18</xdr:col>
      <xdr:colOff>232411</xdr:colOff>
      <xdr:row>3</xdr:row>
      <xdr:rowOff>140410</xdr:rowOff>
    </xdr:from>
    <xdr:ext cx="525107" cy="345410"/>
    <xdr:pic>
      <xdr:nvPicPr>
        <xdr:cNvPr id="11" name="Picture 10">
          <a:extLst>
            <a:ext uri="{FF2B5EF4-FFF2-40B4-BE49-F238E27FC236}">
              <a16:creationId xmlns:a16="http://schemas.microsoft.com/office/drawing/2014/main" id="{335A3A1C-8590-43BE-BFB9-11D90685F4D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71261" y="711910"/>
          <a:ext cx="525107" cy="345410"/>
        </a:xfrm>
        <a:prstGeom prst="rect">
          <a:avLst/>
        </a:prstGeom>
        <a:noFill/>
        <a:ln>
          <a:noFill/>
        </a:ln>
      </xdr:spPr>
    </xdr:pic>
    <xdr:clientData/>
  </xdr:oneCellAnchor>
  <xdr:oneCellAnchor>
    <xdr:from>
      <xdr:col>0</xdr:col>
      <xdr:colOff>291353</xdr:colOff>
      <xdr:row>52</xdr:row>
      <xdr:rowOff>179294</xdr:rowOff>
    </xdr:from>
    <xdr:ext cx="1191521" cy="901289"/>
    <xdr:pic>
      <xdr:nvPicPr>
        <xdr:cNvPr id="12" name="Picture 11" descr="oilco">
          <a:extLst>
            <a:ext uri="{FF2B5EF4-FFF2-40B4-BE49-F238E27FC236}">
              <a16:creationId xmlns:a16="http://schemas.microsoft.com/office/drawing/2014/main" id="{BBD27529-E92E-4219-A647-8AC210345182}"/>
            </a:ext>
          </a:extLst>
        </xdr:cNvPr>
        <xdr:cNvPicPr/>
      </xdr:nvPicPr>
      <xdr:blipFill>
        <a:blip xmlns:r="http://schemas.openxmlformats.org/officeDocument/2006/relationships" r:embed="rId5"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154744</xdr:colOff>
      <xdr:row>52</xdr:row>
      <xdr:rowOff>159010</xdr:rowOff>
    </xdr:from>
    <xdr:ext cx="1526682" cy="519281"/>
    <xdr:pic>
      <xdr:nvPicPr>
        <xdr:cNvPr id="14" name="Picture 13">
          <a:extLst>
            <a:ext uri="{FF2B5EF4-FFF2-40B4-BE49-F238E27FC236}">
              <a16:creationId xmlns:a16="http://schemas.microsoft.com/office/drawing/2014/main" id="{0AE92D25-00A4-4A4A-B730-8B93F2BA97F8}"/>
            </a:ext>
          </a:extLst>
        </xdr:cNvPr>
        <xdr:cNvPicPr>
          <a:picLocks noChangeAspect="1"/>
        </xdr:cNvPicPr>
      </xdr:nvPicPr>
      <xdr:blipFill rotWithShape="1">
        <a:blip xmlns:r="http://schemas.openxmlformats.org/officeDocument/2006/relationships" r:embed="rId6"/>
        <a:srcRect b="49004"/>
        <a:stretch/>
      </xdr:blipFill>
      <xdr:spPr>
        <a:xfrm>
          <a:off x="5812594" y="10465060"/>
          <a:ext cx="1526682" cy="519281"/>
        </a:xfrm>
        <a:prstGeom prst="rect">
          <a:avLst/>
        </a:prstGeom>
      </xdr:spPr>
    </xdr:pic>
    <xdr:clientData/>
  </xdr:oneCellAnchor>
  <xdr:oneCellAnchor>
    <xdr:from>
      <xdr:col>18</xdr:col>
      <xdr:colOff>213361</xdr:colOff>
      <xdr:row>55</xdr:row>
      <xdr:rowOff>159460</xdr:rowOff>
    </xdr:from>
    <xdr:ext cx="525107" cy="345410"/>
    <xdr:pic>
      <xdr:nvPicPr>
        <xdr:cNvPr id="15" name="Picture 14">
          <a:extLst>
            <a:ext uri="{FF2B5EF4-FFF2-40B4-BE49-F238E27FC236}">
              <a16:creationId xmlns:a16="http://schemas.microsoft.com/office/drawing/2014/main" id="{08840224-AE42-459A-9FEE-EF62B7C56F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52211" y="11027485"/>
          <a:ext cx="525107" cy="345410"/>
        </a:xfrm>
        <a:prstGeom prst="rect">
          <a:avLst/>
        </a:prstGeom>
        <a:noFill/>
        <a:ln>
          <a:noFill/>
        </a:ln>
      </xdr:spPr>
    </xdr:pic>
    <xdr:clientData/>
  </xdr:oneCellAnchor>
  <xdr:twoCellAnchor>
    <xdr:from>
      <xdr:col>16</xdr:col>
      <xdr:colOff>97155</xdr:colOff>
      <xdr:row>44</xdr:row>
      <xdr:rowOff>165735</xdr:rowOff>
    </xdr:from>
    <xdr:to>
      <xdr:col>17</xdr:col>
      <xdr:colOff>253366</xdr:colOff>
      <xdr:row>47</xdr:row>
      <xdr:rowOff>1905</xdr:rowOff>
    </xdr:to>
    <xdr:sp macro="" textlink="">
      <xdr:nvSpPr>
        <xdr:cNvPr id="16" name="Isosceles Triangle 15">
          <a:extLst>
            <a:ext uri="{FF2B5EF4-FFF2-40B4-BE49-F238E27FC236}">
              <a16:creationId xmlns:a16="http://schemas.microsoft.com/office/drawing/2014/main" id="{00000000-0008-0000-0100-000010000000}"/>
            </a:ext>
          </a:extLst>
        </xdr:cNvPr>
        <xdr:cNvSpPr/>
      </xdr:nvSpPr>
      <xdr:spPr>
        <a:xfrm>
          <a:off x="5476875" y="8707755"/>
          <a:ext cx="544831" cy="38481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16</xdr:col>
      <xdr:colOff>62198</xdr:colOff>
      <xdr:row>45</xdr:row>
      <xdr:rowOff>112236</xdr:rowOff>
    </xdr:from>
    <xdr:ext cx="635032" cy="26456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441918" y="883713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441918" y="883713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16</xdr:col>
      <xdr:colOff>139700</xdr:colOff>
      <xdr:row>30</xdr:row>
      <xdr:rowOff>142875</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a:fillRect/>
        </a:stretch>
      </xdr:blipFill>
      <xdr:spPr>
        <a:xfrm>
          <a:off x="333375" y="4381500"/>
          <a:ext cx="6667500" cy="1476375"/>
        </a:xfrm>
        <a:prstGeom prst="rect">
          <a:avLst/>
        </a:prstGeom>
      </xdr:spPr>
    </xdr:pic>
    <xdr:clientData/>
  </xdr:twoCellAnchor>
  <xdr:twoCellAnchor editAs="oneCell">
    <xdr:from>
      <xdr:col>1</xdr:col>
      <xdr:colOff>85725</xdr:colOff>
      <xdr:row>31</xdr:row>
      <xdr:rowOff>38100</xdr:rowOff>
    </xdr:from>
    <xdr:to>
      <xdr:col>7</xdr:col>
      <xdr:colOff>187325</xdr:colOff>
      <xdr:row>33</xdr:row>
      <xdr:rowOff>95250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a:fillRect/>
        </a:stretch>
      </xdr:blipFill>
      <xdr:spPr>
        <a:xfrm>
          <a:off x="419100" y="5943600"/>
          <a:ext cx="2714625" cy="438150"/>
        </a:xfrm>
        <a:prstGeom prst="rect">
          <a:avLst/>
        </a:prstGeom>
      </xdr:spPr>
    </xdr:pic>
    <xdr:clientData/>
  </xdr:twoCellAnchor>
  <xdr:twoCellAnchor editAs="oneCell">
    <xdr:from>
      <xdr:col>1</xdr:col>
      <xdr:colOff>76199</xdr:colOff>
      <xdr:row>59</xdr:row>
      <xdr:rowOff>133350</xdr:rowOff>
    </xdr:from>
    <xdr:to>
      <xdr:col>5</xdr:col>
      <xdr:colOff>374649</xdr:colOff>
      <xdr:row>61</xdr:row>
      <xdr:rowOff>214256</xdr:rowOff>
    </xdr:to>
    <xdr:pic>
      <xdr:nvPicPr>
        <xdr:cNvPr id="8" name="Picture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3"/>
        <a:stretch>
          <a:fillRect/>
        </a:stretch>
      </xdr:blipFill>
      <xdr:spPr>
        <a:xfrm>
          <a:off x="409574" y="11563350"/>
          <a:ext cx="2066925" cy="506730"/>
        </a:xfrm>
        <a:prstGeom prst="rect">
          <a:avLst/>
        </a:prstGeom>
      </xdr:spPr>
    </xdr:pic>
    <xdr:clientData/>
  </xdr:twoCellAnchor>
  <xdr:twoCellAnchor>
    <xdr:from>
      <xdr:col>7</xdr:col>
      <xdr:colOff>79375</xdr:colOff>
      <xdr:row>10</xdr:row>
      <xdr:rowOff>63500</xdr:rowOff>
    </xdr:from>
    <xdr:to>
      <xdr:col>7</xdr:col>
      <xdr:colOff>288925</xdr:colOff>
      <xdr:row>10</xdr:row>
      <xdr:rowOff>168275</xdr:rowOff>
    </xdr:to>
    <xdr:sp macro="" textlink="">
      <xdr:nvSpPr>
        <xdr:cNvPr id="13" name="Right Triangle 12">
          <a:extLst>
            <a:ext uri="{FF2B5EF4-FFF2-40B4-BE49-F238E27FC236}">
              <a16:creationId xmlns:a16="http://schemas.microsoft.com/office/drawing/2014/main" id="{00000000-0008-0000-0200-00000D000000}"/>
            </a:ext>
          </a:extLst>
        </xdr:cNvPr>
        <xdr:cNvSpPr/>
      </xdr:nvSpPr>
      <xdr:spPr>
        <a:xfrm flipH="1">
          <a:off x="2524125" y="1976438"/>
          <a:ext cx="209550" cy="104775"/>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oneCellAnchor>
    <xdr:from>
      <xdr:col>0</xdr:col>
      <xdr:colOff>291353</xdr:colOff>
      <xdr:row>0</xdr:row>
      <xdr:rowOff>179294</xdr:rowOff>
    </xdr:from>
    <xdr:ext cx="1191521" cy="901289"/>
    <xdr:pic>
      <xdr:nvPicPr>
        <xdr:cNvPr id="6" name="Picture 5" descr="oilco">
          <a:extLst>
            <a:ext uri="{FF2B5EF4-FFF2-40B4-BE49-F238E27FC236}">
              <a16:creationId xmlns:a16="http://schemas.microsoft.com/office/drawing/2014/main" id="{415D3A28-6CC0-4D30-8AD9-CFF301385C50}"/>
            </a:ext>
          </a:extLst>
        </xdr:cNvPr>
        <xdr:cNvPicPr/>
      </xdr:nvPicPr>
      <xdr:blipFill>
        <a:blip xmlns:r="http://schemas.openxmlformats.org/officeDocument/2006/relationships" r:embed="rId4" cstate="print"/>
        <a:srcRect/>
        <a:stretch>
          <a:fillRect/>
        </a:stretch>
      </xdr:blipFill>
      <xdr:spPr bwMode="auto">
        <a:xfrm>
          <a:off x="291353" y="1019197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7" name="Picture 6">
          <a:extLst>
            <a:ext uri="{FF2B5EF4-FFF2-40B4-BE49-F238E27FC236}">
              <a16:creationId xmlns:a16="http://schemas.microsoft.com/office/drawing/2014/main" id="{427C59E4-15D7-4A89-BBE8-7B9AFF8CE40B}"/>
            </a:ext>
          </a:extLst>
        </xdr:cNvPr>
        <xdr:cNvPicPr>
          <a:picLocks noChangeAspect="1"/>
        </xdr:cNvPicPr>
      </xdr:nvPicPr>
      <xdr:blipFill rotWithShape="1">
        <a:blip xmlns:r="http://schemas.openxmlformats.org/officeDocument/2006/relationships" r:embed="rId5"/>
        <a:srcRect b="49004"/>
        <a:stretch/>
      </xdr:blipFill>
      <xdr:spPr>
        <a:xfrm>
          <a:off x="6856534" y="1016216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11" name="Picture 10">
          <a:extLst>
            <a:ext uri="{FF2B5EF4-FFF2-40B4-BE49-F238E27FC236}">
              <a16:creationId xmlns:a16="http://schemas.microsoft.com/office/drawing/2014/main" id="{FDC5EF86-1517-4598-B7F2-5B50012244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03771" y="10682680"/>
          <a:ext cx="525107" cy="345410"/>
        </a:xfrm>
        <a:prstGeom prst="rect">
          <a:avLst/>
        </a:prstGeom>
        <a:noFill/>
        <a:ln>
          <a:noFill/>
        </a:ln>
      </xdr:spPr>
    </xdr:pic>
    <xdr:clientData/>
  </xdr:oneCellAnchor>
  <xdr:oneCellAnchor>
    <xdr:from>
      <xdr:col>0</xdr:col>
      <xdr:colOff>291353</xdr:colOff>
      <xdr:row>45</xdr:row>
      <xdr:rowOff>179294</xdr:rowOff>
    </xdr:from>
    <xdr:ext cx="1191521" cy="901289"/>
    <xdr:pic>
      <xdr:nvPicPr>
        <xdr:cNvPr id="12" name="Picture 11" descr="oilco">
          <a:extLst>
            <a:ext uri="{FF2B5EF4-FFF2-40B4-BE49-F238E27FC236}">
              <a16:creationId xmlns:a16="http://schemas.microsoft.com/office/drawing/2014/main" id="{3599DB31-D470-4385-A51E-114E6BA7FF02}"/>
            </a:ext>
          </a:extLst>
        </xdr:cNvPr>
        <xdr:cNvPicPr/>
      </xdr:nvPicPr>
      <xdr:blipFill>
        <a:blip xmlns:r="http://schemas.openxmlformats.org/officeDocument/2006/relationships" r:embed="rId4"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45</xdr:row>
      <xdr:rowOff>149485</xdr:rowOff>
    </xdr:from>
    <xdr:ext cx="1526682" cy="519281"/>
    <xdr:pic>
      <xdr:nvPicPr>
        <xdr:cNvPr id="14" name="Picture 13">
          <a:extLst>
            <a:ext uri="{FF2B5EF4-FFF2-40B4-BE49-F238E27FC236}">
              <a16:creationId xmlns:a16="http://schemas.microsoft.com/office/drawing/2014/main" id="{ECAB920C-C85D-4D06-81B0-F71FFC9345D5}"/>
            </a:ext>
          </a:extLst>
        </xdr:cNvPr>
        <xdr:cNvPicPr>
          <a:picLocks noChangeAspect="1"/>
        </xdr:cNvPicPr>
      </xdr:nvPicPr>
      <xdr:blipFill rotWithShape="1">
        <a:blip xmlns:r="http://schemas.openxmlformats.org/officeDocument/2006/relationships" r:embed="rId5"/>
        <a:srcRect b="49004"/>
        <a:stretch/>
      </xdr:blipFill>
      <xdr:spPr>
        <a:xfrm>
          <a:off x="6856534" y="149485"/>
          <a:ext cx="1526682" cy="519281"/>
        </a:xfrm>
        <a:prstGeom prst="rect">
          <a:avLst/>
        </a:prstGeom>
      </xdr:spPr>
    </xdr:pic>
    <xdr:clientData/>
  </xdr:oneCellAnchor>
  <xdr:oneCellAnchor>
    <xdr:from>
      <xdr:col>18</xdr:col>
      <xdr:colOff>308611</xdr:colOff>
      <xdr:row>48</xdr:row>
      <xdr:rowOff>121360</xdr:rowOff>
    </xdr:from>
    <xdr:ext cx="525107" cy="345410"/>
    <xdr:pic>
      <xdr:nvPicPr>
        <xdr:cNvPr id="15" name="Picture 14">
          <a:extLst>
            <a:ext uri="{FF2B5EF4-FFF2-40B4-BE49-F238E27FC236}">
              <a16:creationId xmlns:a16="http://schemas.microsoft.com/office/drawing/2014/main" id="{40A1F9C2-AD7B-469A-A137-F862CDB0D5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03771" y="677620"/>
          <a:ext cx="525107" cy="345410"/>
        </a:xfrm>
        <a:prstGeom prst="rect">
          <a:avLst/>
        </a:prstGeom>
        <a:noFill/>
        <a:ln>
          <a:noFill/>
        </a:ln>
      </xdr:spPr>
    </xdr:pic>
    <xdr:clientData/>
  </xdr:oneCellAnchor>
  <xdr:twoCellAnchor>
    <xdr:from>
      <xdr:col>20</xdr:col>
      <xdr:colOff>34957</xdr:colOff>
      <xdr:row>16</xdr:row>
      <xdr:rowOff>0</xdr:rowOff>
    </xdr:from>
    <xdr:to>
      <xdr:col>21</xdr:col>
      <xdr:colOff>187358</xdr:colOff>
      <xdr:row>18</xdr:row>
      <xdr:rowOff>19050</xdr:rowOff>
    </xdr:to>
    <xdr:sp macro="" textlink="">
      <xdr:nvSpPr>
        <xdr:cNvPr id="16" name="Isosceles Triangle 15">
          <a:extLst>
            <a:ext uri="{FF2B5EF4-FFF2-40B4-BE49-F238E27FC236}">
              <a16:creationId xmlns:a16="http://schemas.microsoft.com/office/drawing/2014/main" id="{00000000-0008-0000-0200-000010000000}"/>
            </a:ext>
          </a:extLst>
        </xdr:cNvPr>
        <xdr:cNvSpPr/>
      </xdr:nvSpPr>
      <xdr:spPr>
        <a:xfrm>
          <a:off x="7654957" y="343852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20</xdr:col>
      <xdr:colOff>0</xdr:colOff>
      <xdr:row>16</xdr:row>
      <xdr:rowOff>137001</xdr:rowOff>
    </xdr:from>
    <xdr:ext cx="635032" cy="26456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7620000" y="35755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7" name="TextBox 16"/>
            <xdr:cNvSpPr txBox="1"/>
          </xdr:nvSpPr>
          <xdr:spPr>
            <a:xfrm>
              <a:off x="7620000" y="35755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mn-lt"/>
                </a:rPr>
                <a:t>𝑉01</a:t>
              </a:r>
              <a:endParaRPr lang="en-US" sz="1100">
                <a:latin typeface="+mn-lt"/>
              </a:endParaRPr>
            </a:p>
          </xdr:txBody>
        </xdr:sp>
      </mc:Fallback>
    </mc:AlternateContent>
    <xdr:clientData/>
  </xdr:oneCellAnchor>
  <xdr:twoCellAnchor>
    <xdr:from>
      <xdr:col>14</xdr:col>
      <xdr:colOff>225457</xdr:colOff>
      <xdr:row>67</xdr:row>
      <xdr:rowOff>171450</xdr:rowOff>
    </xdr:from>
    <xdr:to>
      <xdr:col>15</xdr:col>
      <xdr:colOff>377858</xdr:colOff>
      <xdr:row>70</xdr:row>
      <xdr:rowOff>0</xdr:rowOff>
    </xdr:to>
    <xdr:sp macro="" textlink="">
      <xdr:nvSpPr>
        <xdr:cNvPr id="18" name="Isosceles Triangle 17">
          <a:extLst>
            <a:ext uri="{FF2B5EF4-FFF2-40B4-BE49-F238E27FC236}">
              <a16:creationId xmlns:a16="http://schemas.microsoft.com/office/drawing/2014/main" id="{00000000-0008-0000-0200-000012000000}"/>
            </a:ext>
          </a:extLst>
        </xdr:cNvPr>
        <xdr:cNvSpPr/>
      </xdr:nvSpPr>
      <xdr:spPr>
        <a:xfrm>
          <a:off x="5559457" y="139350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14</xdr:col>
      <xdr:colOff>190500</xdr:colOff>
      <xdr:row>68</xdr:row>
      <xdr:rowOff>117951</xdr:rowOff>
    </xdr:from>
    <xdr:ext cx="635032" cy="26456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5524500" y="140720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9" name="TextBox 18"/>
            <xdr:cNvSpPr txBox="1"/>
          </xdr:nvSpPr>
          <xdr:spPr>
            <a:xfrm>
              <a:off x="5524500" y="140720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mn-lt"/>
                </a:rPr>
                <a:t>𝑉01</a:t>
              </a:r>
              <a:endParaRPr lang="en-US" sz="1100">
                <a:latin typeface="+mn-lt"/>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5</xdr:col>
      <xdr:colOff>200025</xdr:colOff>
      <xdr:row>45</xdr:row>
      <xdr:rowOff>28575</xdr:rowOff>
    </xdr:from>
    <xdr:ext cx="65" cy="172227"/>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866900" y="860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114300</xdr:colOff>
      <xdr:row>47</xdr:row>
      <xdr:rowOff>0</xdr:rowOff>
    </xdr:from>
    <xdr:ext cx="65" cy="172227"/>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447675" y="2626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16</xdr:col>
      <xdr:colOff>390529</xdr:colOff>
      <xdr:row>35</xdr:row>
      <xdr:rowOff>38101</xdr:rowOff>
    </xdr:from>
    <xdr:to>
      <xdr:col>20</xdr:col>
      <xdr:colOff>65326</xdr:colOff>
      <xdr:row>43</xdr:row>
      <xdr:rowOff>59055</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6437276" y="7507329"/>
          <a:ext cx="1583054" cy="1274997"/>
        </a:xfrm>
        <a:prstGeom prst="rect">
          <a:avLst/>
        </a:prstGeom>
      </xdr:spPr>
    </xdr:pic>
    <xdr:clientData/>
  </xdr:twoCellAnchor>
  <xdr:oneCellAnchor>
    <xdr:from>
      <xdr:col>0</xdr:col>
      <xdr:colOff>291353</xdr:colOff>
      <xdr:row>0</xdr:row>
      <xdr:rowOff>179294</xdr:rowOff>
    </xdr:from>
    <xdr:ext cx="1191521" cy="901289"/>
    <xdr:pic>
      <xdr:nvPicPr>
        <xdr:cNvPr id="3" name="Picture 2" descr="oilco">
          <a:extLst>
            <a:ext uri="{FF2B5EF4-FFF2-40B4-BE49-F238E27FC236}">
              <a16:creationId xmlns:a16="http://schemas.microsoft.com/office/drawing/2014/main" id="{2CF2D57B-700C-49B3-97B1-23939377986B}"/>
            </a:ext>
          </a:extLst>
        </xdr:cNvPr>
        <xdr:cNvPicPr/>
      </xdr:nvPicPr>
      <xdr:blipFill>
        <a:blip xmlns:r="http://schemas.openxmlformats.org/officeDocument/2006/relationships" r:embed="rId2" cstate="print"/>
        <a:srcRect/>
        <a:stretch>
          <a:fillRect/>
        </a:stretch>
      </xdr:blipFill>
      <xdr:spPr bwMode="auto">
        <a:xfrm>
          <a:off x="291353" y="887371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4" name="Picture 3">
          <a:extLst>
            <a:ext uri="{FF2B5EF4-FFF2-40B4-BE49-F238E27FC236}">
              <a16:creationId xmlns:a16="http://schemas.microsoft.com/office/drawing/2014/main" id="{1A87B2C7-0137-42E2-9A8C-6246FA95B359}"/>
            </a:ext>
          </a:extLst>
        </xdr:cNvPr>
        <xdr:cNvPicPr>
          <a:picLocks noChangeAspect="1"/>
        </xdr:cNvPicPr>
      </xdr:nvPicPr>
      <xdr:blipFill rotWithShape="1">
        <a:blip xmlns:r="http://schemas.openxmlformats.org/officeDocument/2006/relationships" r:embed="rId3"/>
        <a:srcRect b="49004"/>
        <a:stretch/>
      </xdr:blipFill>
      <xdr:spPr>
        <a:xfrm>
          <a:off x="6856534" y="884390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7" name="Picture 6">
          <a:extLst>
            <a:ext uri="{FF2B5EF4-FFF2-40B4-BE49-F238E27FC236}">
              <a16:creationId xmlns:a16="http://schemas.microsoft.com/office/drawing/2014/main" id="{2380DED5-6819-4AD2-AC73-6C950805D3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03771" y="9372040"/>
          <a:ext cx="525107" cy="345410"/>
        </a:xfrm>
        <a:prstGeom prst="rect">
          <a:avLst/>
        </a:prstGeom>
        <a:noFill/>
        <a:ln>
          <a:noFill/>
        </a:ln>
      </xdr:spPr>
    </xdr:pic>
    <xdr:clientData/>
  </xdr:oneCellAnchor>
  <xdr:twoCellAnchor>
    <xdr:from>
      <xdr:col>11</xdr:col>
      <xdr:colOff>99059</xdr:colOff>
      <xdr:row>24</xdr:row>
      <xdr:rowOff>22860</xdr:rowOff>
    </xdr:from>
    <xdr:to>
      <xdr:col>11</xdr:col>
      <xdr:colOff>373379</xdr:colOff>
      <xdr:row>25</xdr:row>
      <xdr:rowOff>2914</xdr:rowOff>
    </xdr:to>
    <xdr:sp macro="" textlink="">
      <xdr:nvSpPr>
        <xdr:cNvPr id="8" name="Right Triangle 7">
          <a:extLst>
            <a:ext uri="{FF2B5EF4-FFF2-40B4-BE49-F238E27FC236}">
              <a16:creationId xmlns:a16="http://schemas.microsoft.com/office/drawing/2014/main" id="{D2464D43-7557-4DE5-91C2-6631526CC51B}"/>
            </a:ext>
          </a:extLst>
        </xdr:cNvPr>
        <xdr:cNvSpPr/>
      </xdr:nvSpPr>
      <xdr:spPr>
        <a:xfrm flipH="1">
          <a:off x="4488179" y="4846320"/>
          <a:ext cx="274320" cy="239134"/>
        </a:xfrm>
        <a:prstGeom prst="r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20</xdr:col>
      <xdr:colOff>34957</xdr:colOff>
      <xdr:row>28</xdr:row>
      <xdr:rowOff>0</xdr:rowOff>
    </xdr:from>
    <xdr:to>
      <xdr:col>21</xdr:col>
      <xdr:colOff>187358</xdr:colOff>
      <xdr:row>30</xdr:row>
      <xdr:rowOff>19050</xdr:rowOff>
    </xdr:to>
    <xdr:sp macro="" textlink="">
      <xdr:nvSpPr>
        <xdr:cNvPr id="9" name="Isosceles Triangle 8">
          <a:extLst>
            <a:ext uri="{FF2B5EF4-FFF2-40B4-BE49-F238E27FC236}">
              <a16:creationId xmlns:a16="http://schemas.microsoft.com/office/drawing/2014/main" id="{00000000-0008-0000-0300-000009000000}"/>
            </a:ext>
          </a:extLst>
        </xdr:cNvPr>
        <xdr:cNvSpPr/>
      </xdr:nvSpPr>
      <xdr:spPr>
        <a:xfrm>
          <a:off x="7835932" y="578167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20</xdr:col>
      <xdr:colOff>0</xdr:colOff>
      <xdr:row>28</xdr:row>
      <xdr:rowOff>137001</xdr:rowOff>
    </xdr:from>
    <xdr:ext cx="635032" cy="26456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7800975" y="59186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10" name="TextBox 9"/>
            <xdr:cNvSpPr txBox="1"/>
          </xdr:nvSpPr>
          <xdr:spPr>
            <a:xfrm>
              <a:off x="7800975" y="591867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mn-lt"/>
                </a:rPr>
                <a:t>𝑉01</a:t>
              </a:r>
              <a:endParaRPr lang="en-US" sz="1100">
                <a:latin typeface="+mn-lt"/>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152400</xdr:rowOff>
    </xdr:from>
    <xdr:to>
      <xdr:col>3</xdr:col>
      <xdr:colOff>228600</xdr:colOff>
      <xdr:row>4</xdr:row>
      <xdr:rowOff>48260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twoCellAnchor>
  <xdr:twoCellAnchor editAs="oneCell">
    <xdr:from>
      <xdr:col>17</xdr:col>
      <xdr:colOff>257175</xdr:colOff>
      <xdr:row>1</xdr:row>
      <xdr:rowOff>9525</xdr:rowOff>
    </xdr:from>
    <xdr:to>
      <xdr:col>20</xdr:col>
      <xdr:colOff>266700</xdr:colOff>
      <xdr:row>4</xdr:row>
      <xdr:rowOff>95885</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0" y="200025"/>
          <a:ext cx="923925" cy="657860"/>
        </a:xfrm>
        <a:prstGeom prst="rect">
          <a:avLst/>
        </a:prstGeom>
      </xdr:spPr>
    </xdr:pic>
    <xdr:clientData/>
  </xdr:twoCellAnchor>
  <xdr:oneCellAnchor>
    <xdr:from>
      <xdr:col>0</xdr:col>
      <xdr:colOff>209550</xdr:colOff>
      <xdr:row>47</xdr:row>
      <xdr:rowOff>152400</xdr:rowOff>
    </xdr:from>
    <xdr:ext cx="933450" cy="657860"/>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933450" cy="657860"/>
        </a:xfrm>
        <a:prstGeom prst="rect">
          <a:avLst/>
        </a:prstGeom>
      </xdr:spPr>
    </xdr:pic>
    <xdr:clientData/>
  </xdr:oneCellAnchor>
  <xdr:oneCellAnchor>
    <xdr:from>
      <xdr:col>17</xdr:col>
      <xdr:colOff>257175</xdr:colOff>
      <xdr:row>48</xdr:row>
      <xdr:rowOff>9525</xdr:rowOff>
    </xdr:from>
    <xdr:ext cx="923925" cy="657860"/>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8775" y="200025"/>
          <a:ext cx="923925" cy="657860"/>
        </a:xfrm>
        <a:prstGeom prst="rect">
          <a:avLst/>
        </a:prstGeom>
      </xdr:spPr>
    </xdr:pic>
    <xdr:clientData/>
  </xdr:oneCellAnchor>
  <xdr:oneCellAnchor>
    <xdr:from>
      <xdr:col>2</xdr:col>
      <xdr:colOff>171450</xdr:colOff>
      <xdr:row>62</xdr:row>
      <xdr:rowOff>71437</xdr:rowOff>
    </xdr:from>
    <xdr:ext cx="753732" cy="26776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𝑦</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6" name="TextBox 5"/>
            <xdr:cNvSpPr txBox="1"/>
          </xdr:nvSpPr>
          <xdr:spPr>
            <a:xfrm>
              <a:off x="781050" y="11882437"/>
              <a:ext cx="753732"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𝐹_𝑦 (𝑘𝑔⁄〖𝑐𝑚〗^2 )</a:t>
              </a:r>
              <a:endParaRPr lang="en-US" sz="1100"/>
            </a:p>
          </xdr:txBody>
        </xdr:sp>
      </mc:Fallback>
    </mc:AlternateContent>
    <xdr:clientData/>
  </xdr:oneCellAnchor>
  <xdr:oneCellAnchor>
    <xdr:from>
      <xdr:col>2</xdr:col>
      <xdr:colOff>161925</xdr:colOff>
      <xdr:row>64</xdr:row>
      <xdr:rowOff>61912</xdr:rowOff>
    </xdr:from>
    <xdr:ext cx="838563" cy="26776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7" name="TextBox 6"/>
            <xdr:cNvSpPr txBox="1"/>
          </xdr:nvSpPr>
          <xdr:spPr>
            <a:xfrm>
              <a:off x="771525" y="12253912"/>
              <a:ext cx="838563"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 (𝑘𝑔⁄〖𝑐𝑚〗^2 )</a:t>
              </a:r>
              <a:endParaRPr lang="en-US" sz="1100"/>
            </a:p>
          </xdr:txBody>
        </xdr:sp>
      </mc:Fallback>
    </mc:AlternateContent>
    <xdr:clientData/>
  </xdr:oneCellAnchor>
  <xdr:oneCellAnchor>
    <xdr:from>
      <xdr:col>4</xdr:col>
      <xdr:colOff>180975</xdr:colOff>
      <xdr:row>66</xdr:row>
      <xdr:rowOff>4762</xdr:rowOff>
    </xdr:from>
    <xdr:ext cx="65" cy="172227"/>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190500</xdr:colOff>
      <xdr:row>67</xdr:row>
      <xdr:rowOff>14287</xdr:rowOff>
    </xdr:from>
    <xdr:ext cx="65" cy="172227"/>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409700" y="12777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180975</xdr:colOff>
      <xdr:row>66</xdr:row>
      <xdr:rowOff>4762</xdr:rowOff>
    </xdr:from>
    <xdr:ext cx="181460"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1</m:t>
                        </m:r>
                      </m:sub>
                    </m:sSub>
                  </m:oMath>
                </m:oMathPara>
              </a14:m>
              <a:endParaRPr lang="en-US" sz="1100"/>
            </a:p>
          </xdr:txBody>
        </xdr:sp>
      </mc:Choice>
      <mc:Fallback xmlns="">
        <xdr:sp macro="" textlink="">
          <xdr:nvSpPr>
            <xdr:cNvPr id="10" name="TextBox 9"/>
            <xdr:cNvSpPr txBox="1"/>
          </xdr:nvSpPr>
          <xdr:spPr>
            <a:xfrm>
              <a:off x="1400175" y="12577762"/>
              <a:ext cx="1814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𝑅_1</a:t>
              </a:r>
              <a:endParaRPr lang="en-US" sz="1100"/>
            </a:p>
          </xdr:txBody>
        </xdr:sp>
      </mc:Fallback>
    </mc:AlternateContent>
    <xdr:clientData/>
  </xdr:oneCellAnchor>
  <xdr:oneCellAnchor>
    <xdr:from>
      <xdr:col>2</xdr:col>
      <xdr:colOff>190500</xdr:colOff>
      <xdr:row>67</xdr:row>
      <xdr:rowOff>14287</xdr:rowOff>
    </xdr:from>
    <xdr:ext cx="184731"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𝑅</m:t>
                        </m:r>
                      </m:e>
                      <m:sub>
                        <m:r>
                          <a:rPr lang="en-US" sz="1100" b="0" i="1">
                            <a:latin typeface="Cambria Math" panose="02040503050406030204" pitchFamily="18" charset="0"/>
                          </a:rPr>
                          <m:t>2</m:t>
                        </m:r>
                      </m:sub>
                    </m:sSub>
                  </m:oMath>
                </m:oMathPara>
              </a14:m>
              <a:endParaRPr lang="en-US" sz="1100"/>
            </a:p>
          </xdr:txBody>
        </xdr:sp>
      </mc:Choice>
      <mc:Fallback xmlns="">
        <xdr:sp macro="" textlink="">
          <xdr:nvSpPr>
            <xdr:cNvPr id="11" name="TextBox 10"/>
            <xdr:cNvSpPr txBox="1"/>
          </xdr:nvSpPr>
          <xdr:spPr>
            <a:xfrm>
              <a:off x="1409700" y="12777787"/>
              <a:ext cx="18473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𝑅_2</a:t>
              </a:r>
              <a:endParaRPr lang="en-US" sz="1100"/>
            </a:p>
          </xdr:txBody>
        </xdr:sp>
      </mc:Fallback>
    </mc:AlternateContent>
    <xdr:clientData/>
  </xdr:oneCellAnchor>
  <xdr:oneCellAnchor>
    <xdr:from>
      <xdr:col>4</xdr:col>
      <xdr:colOff>180975</xdr:colOff>
      <xdr:row>67</xdr:row>
      <xdr:rowOff>4762</xdr:rowOff>
    </xdr:from>
    <xdr:ext cx="65" cy="172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68</xdr:row>
      <xdr:rowOff>4762</xdr:rowOff>
    </xdr:from>
    <xdr:ext cx="65" cy="17222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180975</xdr:colOff>
      <xdr:row>69</xdr:row>
      <xdr:rowOff>4762</xdr:rowOff>
    </xdr:from>
    <xdr:ext cx="65" cy="17222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1400175" y="12577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276225</xdr:colOff>
      <xdr:row>72</xdr:row>
      <xdr:rowOff>52387</xdr:rowOff>
    </xdr:from>
    <xdr:ext cx="715196" cy="267766"/>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𝑘𝑔</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𝑐𝑚</m:t>
                            </m:r>
                          </m:e>
                          <m:sup>
                            <m:r>
                              <a:rPr lang="en-US" sz="1100" b="0" i="1">
                                <a:latin typeface="Cambria Math" panose="02040503050406030204" pitchFamily="18" charset="0"/>
                              </a:rPr>
                              <m:t>2</m:t>
                            </m:r>
                          </m:sup>
                        </m:sSup>
                      </m:den>
                    </m:f>
                    <m:r>
                      <a:rPr lang="en-US" sz="1100" b="0" i="1">
                        <a:latin typeface="Cambria Math" panose="02040503050406030204" pitchFamily="18" charset="0"/>
                      </a:rPr>
                      <m:t>)</m:t>
                    </m:r>
                  </m:oMath>
                </m:oMathPara>
              </a14:m>
              <a:endParaRPr lang="en-US" sz="1100"/>
            </a:p>
          </xdr:txBody>
        </xdr:sp>
      </mc:Choice>
      <mc:Fallback xmlns="">
        <xdr:sp macro="" textlink="">
          <xdr:nvSpPr>
            <xdr:cNvPr id="15" name="TextBox 14"/>
            <xdr:cNvSpPr txBox="1"/>
          </xdr:nvSpPr>
          <xdr:spPr>
            <a:xfrm>
              <a:off x="885825" y="13768387"/>
              <a:ext cx="715196" cy="2677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𝐸(𝑘𝑔⁄〖𝑐𝑚〗^2 )</a:t>
              </a:r>
              <a:endParaRPr lang="en-US" sz="1100"/>
            </a:p>
          </xdr:txBody>
        </xdr:sp>
      </mc:Fallback>
    </mc:AlternateContent>
    <xdr:clientData/>
  </xdr:oneCellAnchor>
  <xdr:oneCellAnchor>
    <xdr:from>
      <xdr:col>22</xdr:col>
      <xdr:colOff>38100</xdr:colOff>
      <xdr:row>56</xdr:row>
      <xdr:rowOff>33337</xdr:rowOff>
    </xdr:from>
    <xdr:ext cx="1187568" cy="344903"/>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sSup>
                          <m:sSupPr>
                            <m:ctrlPr>
                              <a:rPr lang="en-US" sz="1100" b="0" i="1">
                                <a:latin typeface="Cambria Math" panose="02040503050406030204" pitchFamily="18" charset="0"/>
                              </a:rPr>
                            </m:ctrlPr>
                          </m:sSupPr>
                          <m:e>
                            <m:r>
                              <a:rPr lang="en-US" sz="1100" b="0" i="1">
                                <a:latin typeface="Cambria Math" panose="02040503050406030204" pitchFamily="18" charset="0"/>
                                <a:ea typeface="Cambria Math" panose="02040503050406030204" pitchFamily="18" charset="0"/>
                              </a:rPr>
                              <m:t>𝜋</m:t>
                            </m:r>
                          </m:e>
                          <m:sup>
                            <m:r>
                              <a:rPr lang="en-US" sz="1100" b="0" i="1">
                                <a:latin typeface="Cambria Math" panose="02040503050406030204" pitchFamily="18" charset="0"/>
                              </a:rPr>
                              <m:t>2</m:t>
                            </m:r>
                          </m:sup>
                        </m:sSup>
                        <m:r>
                          <a:rPr lang="en-US" sz="1100" b="0" i="1">
                            <a:latin typeface="Cambria Math" panose="02040503050406030204" pitchFamily="18" charset="0"/>
                          </a:rPr>
                          <m:t>𝐸</m:t>
                        </m:r>
                      </m:num>
                      <m:den>
                        <m:sSup>
                          <m:sSupPr>
                            <m:ctrlPr>
                              <a:rPr lang="en-US" sz="1100" b="0" i="1">
                                <a:latin typeface="Cambria Math" panose="02040503050406030204" pitchFamily="18" charset="0"/>
                              </a:rPr>
                            </m:ctrlPr>
                          </m:sSupPr>
                          <m:e>
                            <m:r>
                              <a:rPr lang="en-US" sz="1100" b="0" i="1">
                                <a:latin typeface="Cambria Math" panose="02040503050406030204" pitchFamily="18" charset="0"/>
                              </a:rPr>
                              <m:t>(</m:t>
                            </m:r>
                            <m:f>
                              <m:fPr>
                                <m:type m:val="skw"/>
                                <m:ctrlPr>
                                  <a:rPr lang="en-US" sz="1100" b="0" i="1">
                                    <a:latin typeface="Cambria Math" panose="02040503050406030204" pitchFamily="18" charset="0"/>
                                  </a:rPr>
                                </m:ctrlPr>
                              </m:fPr>
                              <m:num>
                                <m:r>
                                  <a:rPr lang="en-US" sz="1100" b="0" i="1">
                                    <a:latin typeface="Cambria Math" panose="02040503050406030204" pitchFamily="18" charset="0"/>
                                  </a:rPr>
                                  <m:t>𝐾𝐿</m:t>
                                </m:r>
                              </m:num>
                              <m:den>
                                <m:r>
                                  <a:rPr lang="en-US" sz="1100" b="0" i="1">
                                    <a:latin typeface="Cambria Math" panose="02040503050406030204" pitchFamily="18" charset="0"/>
                                  </a:rPr>
                                  <m:t>𝑅</m:t>
                                </m:r>
                              </m:den>
                            </m:f>
                            <m:r>
                              <a:rPr lang="en-US" sz="1100" b="0" i="1">
                                <a:latin typeface="Cambria Math" panose="02040503050406030204" pitchFamily="18" charset="0"/>
                              </a:rPr>
                              <m:t>)</m:t>
                            </m:r>
                          </m:e>
                          <m:sup>
                            <m:r>
                              <a:rPr lang="en-US" sz="1100" b="0" i="1">
                                <a:latin typeface="Cambria Math" panose="02040503050406030204" pitchFamily="18" charset="0"/>
                              </a:rPr>
                              <m:t>2</m:t>
                            </m:r>
                          </m:sup>
                        </m:sSup>
                      </m:den>
                    </m:f>
                  </m:oMath>
                </m:oMathPara>
              </a14:m>
              <a:endParaRPr lang="en-US" sz="1100"/>
            </a:p>
          </xdr:txBody>
        </xdr:sp>
      </mc:Choice>
      <mc:Fallback xmlns="">
        <xdr:sp macro="" textlink="">
          <xdr:nvSpPr>
            <xdr:cNvPr id="16" name="TextBox 15"/>
            <xdr:cNvSpPr txBox="1"/>
          </xdr:nvSpPr>
          <xdr:spPr>
            <a:xfrm>
              <a:off x="6743700" y="10701337"/>
              <a:ext cx="1187568" cy="3449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𝐹_𝑒=(</a:t>
              </a:r>
              <a:r>
                <a:rPr lang="en-US" sz="1100" b="0" i="0">
                  <a:latin typeface="Cambria Math" panose="02040503050406030204" pitchFamily="18" charset="0"/>
                  <a:ea typeface="Cambria Math" panose="02040503050406030204" pitchFamily="18" charset="0"/>
                </a:rPr>
                <a:t>𝜋^</a:t>
              </a:r>
              <a:r>
                <a:rPr lang="en-US" sz="1100" b="0" i="0">
                  <a:latin typeface="Cambria Math" panose="02040503050406030204" pitchFamily="18" charset="0"/>
                </a:rPr>
                <a:t>2 𝐸)⁄〖(𝐾𝐿⁄𝑅)〗^2 </a:t>
              </a:r>
              <a:endParaRPr lang="en-US" sz="1100"/>
            </a:p>
          </xdr:txBody>
        </xdr:sp>
      </mc:Fallback>
    </mc:AlternateContent>
    <xdr:clientData/>
  </xdr:oneCellAnchor>
  <xdr:oneCellAnchor>
    <xdr:from>
      <xdr:col>19</xdr:col>
      <xdr:colOff>152400</xdr:colOff>
      <xdr:row>63</xdr:row>
      <xdr:rowOff>157162</xdr:rowOff>
    </xdr:from>
    <xdr:ext cx="65" cy="172227"/>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594360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xdr:col>
      <xdr:colOff>104775</xdr:colOff>
      <xdr:row>60</xdr:row>
      <xdr:rowOff>28576</xdr:rowOff>
    </xdr:from>
    <xdr:ext cx="493971" cy="27725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oMath>
                </m:oMathPara>
              </a14:m>
              <a:endParaRPr lang="en-US" sz="1100"/>
            </a:p>
          </xdr:txBody>
        </xdr:sp>
      </mc:Choice>
      <mc:Fallback xmlns="">
        <xdr:sp macro="" textlink="">
          <xdr:nvSpPr>
            <xdr:cNvPr id="18" name="TextBox 17"/>
            <xdr:cNvSpPr txBox="1"/>
          </xdr:nvSpPr>
          <xdr:spPr>
            <a:xfrm>
              <a:off x="3152775" y="11458576"/>
              <a:ext cx="493971" cy="277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𝐹_𝑎𝑙𝑙⁄𝐹_𝑒 </a:t>
              </a:r>
              <a:endParaRPr lang="en-US" sz="1100"/>
            </a:p>
          </xdr:txBody>
        </xdr:sp>
      </mc:Fallback>
    </mc:AlternateContent>
    <xdr:clientData/>
  </xdr:oneCellAnchor>
  <xdr:oneCellAnchor>
    <xdr:from>
      <xdr:col>10</xdr:col>
      <xdr:colOff>200025</xdr:colOff>
      <xdr:row>64</xdr:row>
      <xdr:rowOff>100012</xdr:rowOff>
    </xdr:from>
    <xdr:ext cx="905312" cy="204480"/>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100" b="0" i="1">
                      <a:latin typeface="Cambria Math" panose="02040503050406030204" pitchFamily="18" charset="0"/>
                    </a:rPr>
                    <m:t>(</m:t>
                  </m:r>
                  <m:f>
                    <m:fPr>
                      <m:type m:val="skw"/>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r>
                    <a:rPr lang="en-US" sz="1100" b="0" i="1">
                      <a:latin typeface="Cambria Math" panose="02040503050406030204" pitchFamily="18" charset="0"/>
                    </a:rPr>
                    <m:t>)</m:t>
                  </m:r>
                </m:oMath>
              </a14:m>
              <a:r>
                <a:rPr lang="en-US" sz="1100"/>
                <a:t> </a:t>
              </a:r>
              <a14:m>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25</m:t>
                  </m:r>
                </m:oMath>
              </a14:m>
              <a:endParaRPr lang="en-US" sz="1100"/>
            </a:p>
          </xdr:txBody>
        </xdr:sp>
      </mc:Choice>
      <mc:Fallback xmlns="">
        <xdr:sp macro="" textlink="">
          <xdr:nvSpPr>
            <xdr:cNvPr id="19" name="TextBox 18"/>
            <xdr:cNvSpPr txBox="1"/>
          </xdr:nvSpPr>
          <xdr:spPr>
            <a:xfrm>
              <a:off x="3248025" y="12292012"/>
              <a:ext cx="905312" cy="204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(𝐹_𝑎𝑙𝑙⁄𝐹_𝑒 )</a:t>
              </a:r>
              <a:r>
                <a:rPr lang="en-US" sz="1100"/>
                <a:t> </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2.25</a:t>
              </a:r>
              <a:endParaRPr lang="en-US" sz="1100"/>
            </a:p>
          </xdr:txBody>
        </xdr:sp>
      </mc:Fallback>
    </mc:AlternateContent>
    <xdr:clientData/>
  </xdr:oneCellAnchor>
  <xdr:oneCellAnchor>
    <xdr:from>
      <xdr:col>14</xdr:col>
      <xdr:colOff>238125</xdr:colOff>
      <xdr:row>64</xdr:row>
      <xdr:rowOff>119062</xdr:rowOff>
    </xdr:from>
    <xdr:ext cx="150041"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0" name="TextBox 19"/>
            <xdr:cNvSpPr txBox="1"/>
          </xdr:nvSpPr>
          <xdr:spPr>
            <a:xfrm>
              <a:off x="4505325" y="12311062"/>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19</xdr:col>
      <xdr:colOff>152400</xdr:colOff>
      <xdr:row>66</xdr:row>
      <xdr:rowOff>157162</xdr:rowOff>
    </xdr:from>
    <xdr:ext cx="65" cy="172227"/>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5943600" y="12730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16</xdr:col>
      <xdr:colOff>19050</xdr:colOff>
      <xdr:row>64</xdr:row>
      <xdr:rowOff>61912</xdr:rowOff>
    </xdr:from>
    <xdr:ext cx="1530291" cy="290464"/>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r>
                      <a:rPr lang="en-US" sz="1100" b="0" i="1">
                        <a:latin typeface="Cambria Math" panose="02040503050406030204" pitchFamily="18" charset="0"/>
                      </a:rPr>
                      <m:t>=</m:t>
                    </m:r>
                    <m:d>
                      <m:dPr>
                        <m:ctrlPr>
                          <a:rPr lang="en-US" sz="1100" b="0" i="1">
                            <a:latin typeface="Cambria Math" panose="02040503050406030204" pitchFamily="18" charset="0"/>
                          </a:rPr>
                        </m:ctrlPr>
                      </m:dPr>
                      <m:e>
                        <m:sSup>
                          <m:sSupPr>
                            <m:ctrlPr>
                              <a:rPr lang="en-US" sz="1100" b="0" i="1">
                                <a:latin typeface="Cambria Math" panose="02040503050406030204" pitchFamily="18" charset="0"/>
                              </a:rPr>
                            </m:ctrlPr>
                          </m:sSupPr>
                          <m:e>
                            <m:r>
                              <a:rPr lang="en-US" sz="1100" b="0" i="1">
                                <a:latin typeface="Cambria Math" panose="02040503050406030204" pitchFamily="18" charset="0"/>
                              </a:rPr>
                              <m:t>0</m:t>
                            </m:r>
                            <m:r>
                              <a:rPr lang="en-US" sz="1100" b="0" i="1">
                                <a:latin typeface="Cambria Math" panose="02040503050406030204" pitchFamily="18" charset="0"/>
                              </a:rPr>
                              <m:t>.</m:t>
                            </m:r>
                            <m:r>
                              <a:rPr lang="en-US" sz="1100" b="0" i="1">
                                <a:latin typeface="Cambria Math" panose="02040503050406030204" pitchFamily="18" charset="0"/>
                              </a:rPr>
                              <m:t>658</m:t>
                            </m:r>
                          </m:e>
                          <m:sup>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𝑒</m:t>
                                    </m:r>
                                  </m:sub>
                                </m:sSub>
                              </m:den>
                            </m:f>
                          </m:sup>
                        </m:sSup>
                      </m:e>
                    </m:d>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𝑎𝑙𝑙</m:t>
                        </m:r>
                      </m:sub>
                    </m:sSub>
                    <m:r>
                      <a:rPr lang="en-US" sz="1100" b="0" i="1">
                        <a:latin typeface="Cambria Math" panose="02040503050406030204" pitchFamily="18" charset="0"/>
                      </a:rPr>
                      <m:t>)</m:t>
                    </m:r>
                  </m:oMath>
                </m:oMathPara>
              </a14:m>
              <a:endParaRPr lang="en-US" sz="1100"/>
            </a:p>
          </xdr:txBody>
        </xdr:sp>
      </mc:Choice>
      <mc:Fallback xmlns="">
        <xdr:sp macro="" textlink="">
          <xdr:nvSpPr>
            <xdr:cNvPr id="22" name="TextBox 21"/>
            <xdr:cNvSpPr txBox="1"/>
          </xdr:nvSpPr>
          <xdr:spPr>
            <a:xfrm>
              <a:off x="4895850" y="12253912"/>
              <a:ext cx="1530291" cy="290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𝐹_𝑐𝑟=(〖0.658〗^(𝐹_𝑎𝑙𝑙/𝐹_𝑒 ) )∗(𝐹_𝑎𝑙𝑙)</a:t>
              </a:r>
              <a:endParaRPr lang="en-US" sz="1100"/>
            </a:p>
          </xdr:txBody>
        </xdr:sp>
      </mc:Fallback>
    </mc:AlternateContent>
    <xdr:clientData/>
  </xdr:oneCellAnchor>
  <xdr:oneCellAnchor>
    <xdr:from>
      <xdr:col>10</xdr:col>
      <xdr:colOff>57150</xdr:colOff>
      <xdr:row>66</xdr:row>
      <xdr:rowOff>33337</xdr:rowOff>
    </xdr:from>
    <xdr:ext cx="1068178" cy="44929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mn-ea"/>
                        <a:cs typeface="+mn-cs"/>
                      </a:rPr>
                      <m:t>(</m:t>
                    </m:r>
                    <m:f>
                      <m:fPr>
                        <m:type m:val="skw"/>
                        <m:ctrlPr>
                          <a:rPr lang="en-US" sz="1100" i="1">
                            <a:solidFill>
                              <a:schemeClr val="tx1"/>
                            </a:solidFill>
                            <a:effectLst/>
                            <a:latin typeface="Cambria Math" panose="02040503050406030204" pitchFamily="18" charset="0"/>
                            <a:ea typeface="+mn-ea"/>
                            <a:cs typeface="+mn-cs"/>
                          </a:rPr>
                        </m:ctrlPr>
                      </m:fPr>
                      <m:num>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𝑎𝑙𝑙</m:t>
                            </m:r>
                          </m:sub>
                        </m:sSub>
                      </m:num>
                      <m:den>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den>
                    </m:f>
                    <m:r>
                      <a:rPr lang="en-US" sz="1100" b="0" i="1">
                        <a:solidFill>
                          <a:schemeClr val="tx1"/>
                        </a:solidFill>
                        <a:effectLst/>
                        <a:latin typeface="Cambria Math" panose="02040503050406030204" pitchFamily="18" charset="0"/>
                        <a:ea typeface="+mn-ea"/>
                        <a:cs typeface="+mn-cs"/>
                      </a:rPr>
                      <m:t>)</m:t>
                    </m:r>
                    <m:r>
                      <m:rPr>
                        <m:nor/>
                      </m:rPr>
                      <a:rPr lang="en-US" sz="1100">
                        <a:solidFill>
                          <a:schemeClr val="tx1"/>
                        </a:solidFill>
                        <a:effectLst/>
                        <a:latin typeface="+mn-lt"/>
                        <a:ea typeface="+mn-ea"/>
                        <a:cs typeface="+mn-cs"/>
                      </a:rPr>
                      <m:t> </m:t>
                    </m:r>
                    <m:r>
                      <a:rPr lang="en-US" sz="1100" i="1">
                        <a:solidFill>
                          <a:schemeClr val="tx1"/>
                        </a:solidFill>
                        <a:effectLst/>
                        <a:latin typeface="Cambria Math" panose="02040503050406030204" pitchFamily="18" charset="0"/>
                        <a:ea typeface="Cambria Math" panose="02040503050406030204" pitchFamily="18" charset="0"/>
                        <a:cs typeface="+mn-cs"/>
                      </a:rPr>
                      <m:t>&gt;</m:t>
                    </m:r>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25</m:t>
                    </m:r>
                  </m:oMath>
                </m:oMathPara>
              </a14:m>
              <a:endParaRPr lang="en-US">
                <a:effectLst/>
              </a:endParaRPr>
            </a:p>
            <a:p>
              <a:endParaRPr lang="en-US" sz="1100"/>
            </a:p>
          </xdr:txBody>
        </xdr:sp>
      </mc:Choice>
      <mc:Fallback xmlns="">
        <xdr:sp macro="" textlink="">
          <xdr:nvSpPr>
            <xdr:cNvPr id="23" name="TextBox 22"/>
            <xdr:cNvSpPr txBox="1"/>
          </xdr:nvSpPr>
          <xdr:spPr>
            <a:xfrm>
              <a:off x="3105150" y="12606337"/>
              <a:ext cx="1068178" cy="449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(𝐹_𝑎𝑙𝑙⁄𝐹_𝑒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 </a:t>
              </a:r>
              <a:r>
                <a:rPr lang="en-US" sz="1100" i="0">
                  <a:solidFill>
                    <a:schemeClr val="tx1"/>
                  </a:solidFill>
                  <a:effectLst/>
                  <a:latin typeface="Cambria Math" panose="02040503050406030204" pitchFamily="18" charset="0"/>
                  <a:ea typeface="Cambria Math" panose="02040503050406030204" pitchFamily="18" charset="0"/>
                  <a:cs typeface="+mn-cs"/>
                </a:rPr>
                <a:t>"&gt;</a:t>
              </a:r>
              <a:r>
                <a:rPr lang="en-US" sz="1100" b="0" i="0">
                  <a:solidFill>
                    <a:schemeClr val="tx1"/>
                  </a:solidFill>
                  <a:effectLst/>
                  <a:latin typeface="+mn-lt"/>
                  <a:ea typeface="+mn-ea"/>
                  <a:cs typeface="+mn-cs"/>
                </a:rPr>
                <a:t>2.25</a:t>
              </a:r>
              <a:endParaRPr lang="en-US">
                <a:effectLst/>
              </a:endParaRPr>
            </a:p>
            <a:p>
              <a:endParaRPr lang="en-US" sz="1100"/>
            </a:p>
          </xdr:txBody>
        </xdr:sp>
      </mc:Fallback>
    </mc:AlternateContent>
    <xdr:clientData/>
  </xdr:oneCellAnchor>
  <xdr:oneCellAnchor>
    <xdr:from>
      <xdr:col>14</xdr:col>
      <xdr:colOff>257175</xdr:colOff>
      <xdr:row>66</xdr:row>
      <xdr:rowOff>128587</xdr:rowOff>
    </xdr:from>
    <xdr:ext cx="150041" cy="17222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24" name="TextBox 23"/>
            <xdr:cNvSpPr txBox="1"/>
          </xdr:nvSpPr>
          <xdr:spPr>
            <a:xfrm>
              <a:off x="4524375" y="1270158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15</xdr:col>
      <xdr:colOff>295275</xdr:colOff>
      <xdr:row>66</xdr:row>
      <xdr:rowOff>90487</xdr:rowOff>
    </xdr:from>
    <xdr:ext cx="1106265" cy="344453"/>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877</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𝑒</m:t>
                        </m:r>
                      </m:sub>
                    </m:sSub>
                  </m:oMath>
                </m:oMathPara>
              </a14:m>
              <a:endParaRPr lang="en-US">
                <a:effectLst/>
              </a:endParaRPr>
            </a:p>
            <a:p>
              <a:endParaRPr lang="en-US" sz="1100"/>
            </a:p>
          </xdr:txBody>
        </xdr:sp>
      </mc:Choice>
      <mc:Fallback xmlns="">
        <xdr:sp macro="" textlink="">
          <xdr:nvSpPr>
            <xdr:cNvPr id="25" name="TextBox 24"/>
            <xdr:cNvSpPr txBox="1"/>
          </xdr:nvSpPr>
          <xdr:spPr>
            <a:xfrm>
              <a:off x="4867275" y="12663487"/>
              <a:ext cx="11062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𝐹_𝑐𝑟</a:t>
              </a:r>
              <a:r>
                <a:rPr lang="en-US" sz="1100" b="0" i="0">
                  <a:solidFill>
                    <a:schemeClr val="tx1"/>
                  </a:solidFill>
                  <a:effectLst/>
                  <a:latin typeface="Cambria Math" panose="02040503050406030204" pitchFamily="18" charset="0"/>
                  <a:ea typeface="+mn-ea"/>
                  <a:cs typeface="+mn-cs"/>
                </a:rPr>
                <a:t>=0.877∗𝐹_𝑒</a:t>
              </a:r>
              <a:endParaRPr lang="en-US">
                <a:effectLst/>
              </a:endParaRPr>
            </a:p>
            <a:p>
              <a:endParaRPr lang="en-US" sz="1100"/>
            </a:p>
          </xdr:txBody>
        </xdr:sp>
      </mc:Fallback>
    </mc:AlternateContent>
    <xdr:clientData/>
  </xdr:oneCellAnchor>
  <xdr:oneCellAnchor>
    <xdr:from>
      <xdr:col>9</xdr:col>
      <xdr:colOff>219075</xdr:colOff>
      <xdr:row>69</xdr:row>
      <xdr:rowOff>80962</xdr:rowOff>
    </xdr:from>
    <xdr:ext cx="206082" cy="172227"/>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𝑐𝑟</m:t>
                        </m:r>
                      </m:sub>
                    </m:sSub>
                  </m:oMath>
                </m:oMathPara>
              </a14:m>
              <a:endParaRPr lang="en-US" sz="1100"/>
            </a:p>
          </xdr:txBody>
        </xdr:sp>
      </mc:Choice>
      <mc:Fallback xmlns="">
        <xdr:sp macro="" textlink="">
          <xdr:nvSpPr>
            <xdr:cNvPr id="26" name="TextBox 25"/>
            <xdr:cNvSpPr txBox="1"/>
          </xdr:nvSpPr>
          <xdr:spPr>
            <a:xfrm>
              <a:off x="2962275" y="13225462"/>
              <a:ext cx="2060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𝐹_𝑐𝑟</a:t>
              </a:r>
              <a:endParaRPr lang="en-US" sz="1100"/>
            </a:p>
          </xdr:txBody>
        </xdr:sp>
      </mc:Fallback>
    </mc:AlternateContent>
    <xdr:clientData/>
  </xdr:oneCellAnchor>
  <xdr:oneCellAnchor>
    <xdr:from>
      <xdr:col>9</xdr:col>
      <xdr:colOff>47625</xdr:colOff>
      <xdr:row>71</xdr:row>
      <xdr:rowOff>119062</xdr:rowOff>
    </xdr:from>
    <xdr:ext cx="963790" cy="344453"/>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𝜑</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0</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6</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m:t>
                        </m:r>
                      </m:e>
                      <m:sub>
                        <m:r>
                          <a:rPr lang="en-US" sz="1100" b="0" i="1">
                            <a:solidFill>
                              <a:schemeClr val="tx1"/>
                            </a:solidFill>
                            <a:effectLst/>
                            <a:latin typeface="Cambria Math" panose="02040503050406030204" pitchFamily="18" charset="0"/>
                            <a:ea typeface="+mn-ea"/>
                            <a:cs typeface="+mn-cs"/>
                          </a:rPr>
                          <m:t>𝑐𝑟</m:t>
                        </m:r>
                      </m:sub>
                    </m:sSub>
                    <m:r>
                      <a:rPr lang="en-US" sz="1100" b="0" i="1">
                        <a:solidFill>
                          <a:schemeClr val="tx1"/>
                        </a:solidFill>
                        <a:effectLst/>
                        <a:latin typeface="Cambria Math" panose="02040503050406030204" pitchFamily="18" charset="0"/>
                        <a:ea typeface="+mn-ea"/>
                        <a:cs typeface="+mn-cs"/>
                      </a:rPr>
                      <m:t>𝐴</m:t>
                    </m:r>
                  </m:oMath>
                </m:oMathPara>
              </a14:m>
              <a:endParaRPr lang="en-US">
                <a:effectLst/>
              </a:endParaRPr>
            </a:p>
            <a:p>
              <a:endParaRPr lang="en-US" sz="1100"/>
            </a:p>
          </xdr:txBody>
        </xdr:sp>
      </mc:Choice>
      <mc:Fallback xmlns="">
        <xdr:sp macro="" textlink="">
          <xdr:nvSpPr>
            <xdr:cNvPr id="27" name="TextBox 26"/>
            <xdr:cNvSpPr txBox="1"/>
          </xdr:nvSpPr>
          <xdr:spPr>
            <a:xfrm>
              <a:off x="2790825" y="13644562"/>
              <a:ext cx="963790"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tx1"/>
                  </a:solidFill>
                  <a:effectLst/>
                  <a:latin typeface="+mn-lt"/>
                  <a:ea typeface="+mn-ea"/>
                  <a:cs typeface="+mn-cs"/>
                </a:rPr>
                <a:t>𝜑</a:t>
              </a:r>
              <a:r>
                <a:rPr lang="en-US" sz="1100" b="0" i="0">
                  <a:solidFill>
                    <a:schemeClr val="tx1"/>
                  </a:solidFill>
                  <a:effectLst/>
                  <a:latin typeface="+mn-lt"/>
                  <a:ea typeface="+mn-ea"/>
                  <a:cs typeface="+mn-cs"/>
                </a:rPr>
                <a:t>𝑃_𝑛=0.</a:t>
              </a:r>
              <a:r>
                <a:rPr lang="en-US" sz="1100" b="0" i="0">
                  <a:solidFill>
                    <a:schemeClr val="tx1"/>
                  </a:solidFill>
                  <a:effectLst/>
                  <a:latin typeface="Cambria Math" panose="02040503050406030204" pitchFamily="18" charset="0"/>
                  <a:ea typeface="+mn-ea"/>
                  <a:cs typeface="+mn-cs"/>
                </a:rPr>
                <a:t>6</a:t>
              </a:r>
              <a:r>
                <a:rPr lang="en-US" sz="1100" b="0" i="0">
                  <a:solidFill>
                    <a:schemeClr val="tx1"/>
                  </a:solidFill>
                  <a:effectLst/>
                  <a:latin typeface="+mn-lt"/>
                  <a:ea typeface="+mn-ea"/>
                  <a:cs typeface="+mn-cs"/>
                </a:rPr>
                <a:t>𝐹_𝑐𝑟 𝐴</a:t>
              </a:r>
              <a:endParaRPr lang="en-US">
                <a:effectLst/>
              </a:endParaRPr>
            </a:p>
            <a:p>
              <a:endParaRPr lang="en-US"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18</xdr:col>
      <xdr:colOff>258445</xdr:colOff>
      <xdr:row>20</xdr:row>
      <xdr:rowOff>40640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876300" y="2390775"/>
          <a:ext cx="5382895" cy="1269365"/>
        </a:xfrm>
        <a:prstGeom prst="rect">
          <a:avLst/>
        </a:prstGeom>
      </xdr:spPr>
    </xdr:pic>
    <xdr:clientData/>
  </xdr:twoCellAnchor>
  <xdr:twoCellAnchor editAs="oneCell">
    <xdr:from>
      <xdr:col>5</xdr:col>
      <xdr:colOff>144070</xdr:colOff>
      <xdr:row>29</xdr:row>
      <xdr:rowOff>1</xdr:rowOff>
    </xdr:from>
    <xdr:to>
      <xdr:col>13</xdr:col>
      <xdr:colOff>257179</xdr:colOff>
      <xdr:row>46</xdr:row>
      <xdr:rowOff>85725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538888" y="5606058"/>
          <a:ext cx="3324224" cy="2780109"/>
        </a:xfrm>
        <a:prstGeom prst="rect">
          <a:avLst/>
        </a:prstGeom>
      </xdr:spPr>
    </xdr:pic>
    <xdr:clientData/>
  </xdr:twoCellAnchor>
  <xdr:twoCellAnchor editAs="oneCell">
    <xdr:from>
      <xdr:col>11</xdr:col>
      <xdr:colOff>76200</xdr:colOff>
      <xdr:row>58</xdr:row>
      <xdr:rowOff>95250</xdr:rowOff>
    </xdr:from>
    <xdr:to>
      <xdr:col>14</xdr:col>
      <xdr:colOff>226060</xdr:colOff>
      <xdr:row>60</xdr:row>
      <xdr:rowOff>119380</xdr:rowOff>
    </xdr:to>
    <xdr:pic>
      <xdr:nvPicPr>
        <xdr:cNvPr id="10" name="Picture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3"/>
        <a:stretch>
          <a:fillRect/>
        </a:stretch>
      </xdr:blipFill>
      <xdr:spPr>
        <a:xfrm>
          <a:off x="3743325" y="10953750"/>
          <a:ext cx="1149985" cy="405130"/>
        </a:xfrm>
        <a:prstGeom prst="rect">
          <a:avLst/>
        </a:prstGeom>
      </xdr:spPr>
    </xdr:pic>
    <xdr:clientData/>
  </xdr:twoCellAnchor>
  <xdr:twoCellAnchor editAs="oneCell">
    <xdr:from>
      <xdr:col>7</xdr:col>
      <xdr:colOff>142874</xdr:colOff>
      <xdr:row>69</xdr:row>
      <xdr:rowOff>152399</xdr:rowOff>
    </xdr:from>
    <xdr:to>
      <xdr:col>13</xdr:col>
      <xdr:colOff>6349</xdr:colOff>
      <xdr:row>78</xdr:row>
      <xdr:rowOff>135254</xdr:rowOff>
    </xdr:to>
    <xdr:pic>
      <xdr:nvPicPr>
        <xdr:cNvPr id="11" name="Picture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4"/>
        <a:stretch>
          <a:fillRect/>
        </a:stretch>
      </xdr:blipFill>
      <xdr:spPr>
        <a:xfrm>
          <a:off x="2476499" y="13106399"/>
          <a:ext cx="1863725" cy="1697355"/>
        </a:xfrm>
        <a:prstGeom prst="rect">
          <a:avLst/>
        </a:prstGeom>
      </xdr:spPr>
    </xdr:pic>
    <xdr:clientData/>
  </xdr:twoCellAnchor>
  <xdr:twoCellAnchor editAs="oneCell">
    <xdr:from>
      <xdr:col>9</xdr:col>
      <xdr:colOff>161925</xdr:colOff>
      <xdr:row>84</xdr:row>
      <xdr:rowOff>66675</xdr:rowOff>
    </xdr:from>
    <xdr:to>
      <xdr:col>15</xdr:col>
      <xdr:colOff>15875</xdr:colOff>
      <xdr:row>87</xdr:row>
      <xdr:rowOff>86360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5"/>
        <a:stretch>
          <a:fillRect/>
        </a:stretch>
      </xdr:blipFill>
      <xdr:spPr>
        <a:xfrm>
          <a:off x="3162300" y="15878175"/>
          <a:ext cx="1854200" cy="591185"/>
        </a:xfrm>
        <a:prstGeom prst="rect">
          <a:avLst/>
        </a:prstGeom>
      </xdr:spPr>
    </xdr:pic>
    <xdr:clientData/>
  </xdr:twoCellAnchor>
  <xdr:twoCellAnchor editAs="oneCell">
    <xdr:from>
      <xdr:col>10</xdr:col>
      <xdr:colOff>171450</xdr:colOff>
      <xdr:row>90</xdr:row>
      <xdr:rowOff>57150</xdr:rowOff>
    </xdr:from>
    <xdr:to>
      <xdr:col>15</xdr:col>
      <xdr:colOff>238125</xdr:colOff>
      <xdr:row>93</xdr:row>
      <xdr:rowOff>180975</xdr:rowOff>
    </xdr:to>
    <xdr:pic>
      <xdr:nvPicPr>
        <xdr:cNvPr id="13" name="Picture 12">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6"/>
        <a:stretch>
          <a:fillRect/>
        </a:stretch>
      </xdr:blipFill>
      <xdr:spPr>
        <a:xfrm>
          <a:off x="3505200" y="17011650"/>
          <a:ext cx="1733550" cy="695325"/>
        </a:xfrm>
        <a:prstGeom prst="rect">
          <a:avLst/>
        </a:prstGeom>
      </xdr:spPr>
    </xdr:pic>
    <xdr:clientData/>
  </xdr:twoCellAnchor>
  <xdr:oneCellAnchor>
    <xdr:from>
      <xdr:col>0</xdr:col>
      <xdr:colOff>209550</xdr:colOff>
      <xdr:row>95</xdr:row>
      <xdr:rowOff>152400</xdr:rowOff>
    </xdr:from>
    <xdr:ext cx="1047750" cy="657860"/>
    <xdr:pic>
      <xdr:nvPicPr>
        <xdr:cNvPr id="14" name="Picture 13">
          <a:extLst>
            <a:ext uri="{FF2B5EF4-FFF2-40B4-BE49-F238E27FC236}">
              <a16:creationId xmlns:a16="http://schemas.microsoft.com/office/drawing/2014/main" id="{00000000-0008-0000-0500-00000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96</xdr:row>
      <xdr:rowOff>9525</xdr:rowOff>
    </xdr:from>
    <xdr:ext cx="1047750" cy="657860"/>
    <xdr:pic>
      <xdr:nvPicPr>
        <xdr:cNvPr id="15" name="Picture 14">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oneCellAnchor>
    <xdr:from>
      <xdr:col>2</xdr:col>
      <xdr:colOff>66675</xdr:colOff>
      <xdr:row>0</xdr:row>
      <xdr:rowOff>171450</xdr:rowOff>
    </xdr:from>
    <xdr:ext cx="716304" cy="278706"/>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8"/>
        <a:stretch>
          <a:fillRect/>
        </a:stretch>
      </xdr:blipFill>
      <xdr:spPr>
        <a:xfrm>
          <a:off x="657225" y="18116550"/>
          <a:ext cx="716304" cy="278706"/>
        </a:xfrm>
        <a:prstGeom prst="rect">
          <a:avLst/>
        </a:prstGeom>
      </xdr:spPr>
    </xdr:pic>
    <xdr:clientData/>
  </xdr:oneCellAnchor>
  <xdr:oneCellAnchor>
    <xdr:from>
      <xdr:col>0</xdr:col>
      <xdr:colOff>180975</xdr:colOff>
      <xdr:row>0</xdr:row>
      <xdr:rowOff>66676</xdr:rowOff>
    </xdr:from>
    <xdr:ext cx="333375" cy="448642"/>
    <xdr:pic>
      <xdr:nvPicPr>
        <xdr:cNvPr id="17" name="Picture 16" descr="NICICO2.bmp">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18011776"/>
          <a:ext cx="333375" cy="448642"/>
        </a:xfrm>
        <a:prstGeom prst="rect">
          <a:avLst/>
        </a:prstGeom>
      </xdr:spPr>
    </xdr:pic>
    <xdr:clientData/>
  </xdr:oneCellAnchor>
  <xdr:oneCellAnchor>
    <xdr:from>
      <xdr:col>1</xdr:col>
      <xdr:colOff>57151</xdr:colOff>
      <xdr:row>3</xdr:row>
      <xdr:rowOff>114300</xdr:rowOff>
    </xdr:from>
    <xdr:ext cx="781034" cy="390525"/>
    <xdr:pic>
      <xdr:nvPicPr>
        <xdr:cNvPr id="18" name="Picture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186309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2</xdr:row>
      <xdr:rowOff>28575</xdr:rowOff>
    </xdr:from>
    <xdr:ext cx="1263198" cy="323585"/>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183546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48</xdr:row>
      <xdr:rowOff>171450</xdr:rowOff>
    </xdr:from>
    <xdr:ext cx="716304" cy="278706"/>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a:stretch>
          <a:fillRect/>
        </a:stretch>
      </xdr:blipFill>
      <xdr:spPr>
        <a:xfrm>
          <a:off x="657225" y="171450"/>
          <a:ext cx="716304" cy="278706"/>
        </a:xfrm>
        <a:prstGeom prst="rect">
          <a:avLst/>
        </a:prstGeom>
      </xdr:spPr>
    </xdr:pic>
    <xdr:clientData/>
  </xdr:oneCellAnchor>
  <xdr:oneCellAnchor>
    <xdr:from>
      <xdr:col>0</xdr:col>
      <xdr:colOff>180975</xdr:colOff>
      <xdr:row>48</xdr:row>
      <xdr:rowOff>66676</xdr:rowOff>
    </xdr:from>
    <xdr:ext cx="333375" cy="448642"/>
    <xdr:pic>
      <xdr:nvPicPr>
        <xdr:cNvPr id="21" name="Picture 20" descr="NICICO2.bmp">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180975" y="66676"/>
          <a:ext cx="333375" cy="448642"/>
        </a:xfrm>
        <a:prstGeom prst="rect">
          <a:avLst/>
        </a:prstGeom>
      </xdr:spPr>
    </xdr:pic>
    <xdr:clientData/>
  </xdr:oneCellAnchor>
  <xdr:oneCellAnchor>
    <xdr:from>
      <xdr:col>1</xdr:col>
      <xdr:colOff>57151</xdr:colOff>
      <xdr:row>51</xdr:row>
      <xdr:rowOff>114300</xdr:rowOff>
    </xdr:from>
    <xdr:ext cx="781034" cy="390525"/>
    <xdr:pic>
      <xdr:nvPicPr>
        <xdr:cNvPr id="22" name="Picture 2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2426" y="685800"/>
          <a:ext cx="781034" cy="390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114300</xdr:colOff>
      <xdr:row>50</xdr:row>
      <xdr:rowOff>28575</xdr:rowOff>
    </xdr:from>
    <xdr:ext cx="1263198" cy="323585"/>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3975" y="409575"/>
          <a:ext cx="1263198" cy="3235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209550</xdr:colOff>
      <xdr:row>13</xdr:row>
      <xdr:rowOff>104775</xdr:rowOff>
    </xdr:from>
    <xdr:to>
      <xdr:col>14</xdr:col>
      <xdr:colOff>192521</xdr:colOff>
      <xdr:row>15</xdr:row>
      <xdr:rowOff>949844</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stretch>
          <a:fillRect/>
        </a:stretch>
      </xdr:blipFill>
      <xdr:spPr>
        <a:xfrm>
          <a:off x="800100" y="2390775"/>
          <a:ext cx="4773295" cy="1269365"/>
        </a:xfrm>
        <a:prstGeom prst="rect">
          <a:avLst/>
        </a:prstGeom>
      </xdr:spPr>
    </xdr:pic>
    <xdr:clientData/>
  </xdr:twoCellAnchor>
  <xdr:twoCellAnchor editAs="oneCell">
    <xdr:from>
      <xdr:col>4</xdr:col>
      <xdr:colOff>48986</xdr:colOff>
      <xdr:row>91</xdr:row>
      <xdr:rowOff>179615</xdr:rowOff>
    </xdr:from>
    <xdr:to>
      <xdr:col>7</xdr:col>
      <xdr:colOff>2721</xdr:colOff>
      <xdr:row>92</xdr:row>
      <xdr:rowOff>340179</xdr:rowOff>
    </xdr:to>
    <xdr:pic>
      <xdr:nvPicPr>
        <xdr:cNvPr id="11" name="Picture 10">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2"/>
        <a:stretch>
          <a:fillRect/>
        </a:stretch>
      </xdr:blipFill>
      <xdr:spPr>
        <a:xfrm>
          <a:off x="1654629" y="16453758"/>
          <a:ext cx="1134835" cy="351064"/>
        </a:xfrm>
        <a:prstGeom prst="rect">
          <a:avLst/>
        </a:prstGeom>
      </xdr:spPr>
    </xdr:pic>
    <xdr:clientData/>
  </xdr:twoCellAnchor>
  <xdr:oneCellAnchor>
    <xdr:from>
      <xdr:col>6</xdr:col>
      <xdr:colOff>114299</xdr:colOff>
      <xdr:row>99</xdr:row>
      <xdr:rowOff>0</xdr:rowOff>
    </xdr:from>
    <xdr:ext cx="65" cy="313099"/>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2244435" y="23117173"/>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b="1"/>
        </a:p>
      </xdr:txBody>
    </xdr:sp>
    <xdr:clientData/>
  </xdr:oneCellAnchor>
  <xdr:twoCellAnchor editAs="oneCell">
    <xdr:from>
      <xdr:col>6</xdr:col>
      <xdr:colOff>294411</xdr:colOff>
      <xdr:row>28</xdr:row>
      <xdr:rowOff>25978</xdr:rowOff>
    </xdr:from>
    <xdr:to>
      <xdr:col>13</xdr:col>
      <xdr:colOff>224793</xdr:colOff>
      <xdr:row>37</xdr:row>
      <xdr:rowOff>925325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580411" y="5403273"/>
          <a:ext cx="2761905" cy="2657143"/>
        </a:xfrm>
        <a:prstGeom prst="rect">
          <a:avLst/>
        </a:prstGeom>
      </xdr:spPr>
    </xdr:pic>
    <xdr:clientData/>
  </xdr:twoCellAnchor>
  <xdr:twoCellAnchor editAs="oneCell">
    <xdr:from>
      <xdr:col>1</xdr:col>
      <xdr:colOff>231320</xdr:colOff>
      <xdr:row>57</xdr:row>
      <xdr:rowOff>40821</xdr:rowOff>
    </xdr:from>
    <xdr:to>
      <xdr:col>7</xdr:col>
      <xdr:colOff>5428</xdr:colOff>
      <xdr:row>61</xdr:row>
      <xdr:rowOff>108856</xdr:rowOff>
    </xdr:to>
    <xdr:pic>
      <xdr:nvPicPr>
        <xdr:cNvPr id="14" name="Picture 13">
          <a:extLst>
            <a:ext uri="{FF2B5EF4-FFF2-40B4-BE49-F238E27FC236}">
              <a16:creationId xmlns:a16="http://schemas.microsoft.com/office/drawing/2014/main" id="{ECEA9838-CC16-8648-9611-A30035979EDF}"/>
            </a:ext>
          </a:extLst>
        </xdr:cNvPr>
        <xdr:cNvPicPr>
          <a:picLocks noChangeAspect="1"/>
        </xdr:cNvPicPr>
      </xdr:nvPicPr>
      <xdr:blipFill>
        <a:blip xmlns:r="http://schemas.openxmlformats.org/officeDocument/2006/relationships" r:embed="rId4"/>
        <a:stretch>
          <a:fillRect/>
        </a:stretch>
      </xdr:blipFill>
      <xdr:spPr>
        <a:xfrm>
          <a:off x="693963" y="10980964"/>
          <a:ext cx="2105828" cy="830035"/>
        </a:xfrm>
        <a:prstGeom prst="rect">
          <a:avLst/>
        </a:prstGeom>
      </xdr:spPr>
    </xdr:pic>
    <xdr:clientData/>
  </xdr:twoCellAnchor>
  <xdr:twoCellAnchor editAs="oneCell">
    <xdr:from>
      <xdr:col>1</xdr:col>
      <xdr:colOff>190500</xdr:colOff>
      <xdr:row>63</xdr:row>
      <xdr:rowOff>68036</xdr:rowOff>
    </xdr:from>
    <xdr:to>
      <xdr:col>19</xdr:col>
      <xdr:colOff>223366</xdr:colOff>
      <xdr:row>75</xdr:row>
      <xdr:rowOff>163618</xdr:rowOff>
    </xdr:to>
    <xdr:pic>
      <xdr:nvPicPr>
        <xdr:cNvPr id="26" name="Picture 25">
          <a:extLst>
            <a:ext uri="{FF2B5EF4-FFF2-40B4-BE49-F238E27FC236}">
              <a16:creationId xmlns:a16="http://schemas.microsoft.com/office/drawing/2014/main" id="{18CB9BC9-2A00-93D9-63A4-429ADE4E9AB2}"/>
            </a:ext>
          </a:extLst>
        </xdr:cNvPr>
        <xdr:cNvPicPr>
          <a:picLocks noChangeAspect="1"/>
        </xdr:cNvPicPr>
      </xdr:nvPicPr>
      <xdr:blipFill>
        <a:blip xmlns:r="http://schemas.openxmlformats.org/officeDocument/2006/relationships" r:embed="rId5"/>
        <a:stretch>
          <a:fillRect/>
        </a:stretch>
      </xdr:blipFill>
      <xdr:spPr>
        <a:xfrm>
          <a:off x="653143" y="12192000"/>
          <a:ext cx="7344800" cy="2381582"/>
        </a:xfrm>
        <a:prstGeom prst="rect">
          <a:avLst/>
        </a:prstGeom>
      </xdr:spPr>
    </xdr:pic>
    <xdr:clientData/>
  </xdr:twoCellAnchor>
  <xdr:oneCellAnchor>
    <xdr:from>
      <xdr:col>0</xdr:col>
      <xdr:colOff>291353</xdr:colOff>
      <xdr:row>0</xdr:row>
      <xdr:rowOff>179294</xdr:rowOff>
    </xdr:from>
    <xdr:ext cx="1191521" cy="901289"/>
    <xdr:pic>
      <xdr:nvPicPr>
        <xdr:cNvPr id="5" name="Picture 4" descr="oilco">
          <a:extLst>
            <a:ext uri="{FF2B5EF4-FFF2-40B4-BE49-F238E27FC236}">
              <a16:creationId xmlns:a16="http://schemas.microsoft.com/office/drawing/2014/main" id="{7E315A9A-60DF-45B6-8659-72B5FDDC8F3A}"/>
            </a:ext>
          </a:extLst>
        </xdr:cNvPr>
        <xdr:cNvPicPr/>
      </xdr:nvPicPr>
      <xdr:blipFill>
        <a:blip xmlns:r="http://schemas.openxmlformats.org/officeDocument/2006/relationships" r:embed="rId6"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6" name="Picture 5">
          <a:extLst>
            <a:ext uri="{FF2B5EF4-FFF2-40B4-BE49-F238E27FC236}">
              <a16:creationId xmlns:a16="http://schemas.microsoft.com/office/drawing/2014/main" id="{5B553FAB-9C26-4666-87C8-D1D6A0ACC81B}"/>
            </a:ext>
          </a:extLst>
        </xdr:cNvPr>
        <xdr:cNvPicPr>
          <a:picLocks noChangeAspect="1"/>
        </xdr:cNvPicPr>
      </xdr:nvPicPr>
      <xdr:blipFill rotWithShape="1">
        <a:blip xmlns:r="http://schemas.openxmlformats.org/officeDocument/2006/relationships" r:embed="rId7"/>
        <a:srcRect b="49004"/>
        <a:stretch/>
      </xdr:blipFill>
      <xdr:spPr>
        <a:xfrm>
          <a:off x="7054654" y="14948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7" name="Picture 6">
          <a:extLst>
            <a:ext uri="{FF2B5EF4-FFF2-40B4-BE49-F238E27FC236}">
              <a16:creationId xmlns:a16="http://schemas.microsoft.com/office/drawing/2014/main" id="{00DE5FC3-CE7E-44BF-A5B4-E6A1A1010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01891" y="677620"/>
          <a:ext cx="525107" cy="345410"/>
        </a:xfrm>
        <a:prstGeom prst="rect">
          <a:avLst/>
        </a:prstGeom>
        <a:noFill/>
        <a:ln>
          <a:noFill/>
        </a:ln>
      </xdr:spPr>
    </xdr:pic>
    <xdr:clientData/>
  </xdr:oneCellAnchor>
  <xdr:oneCellAnchor>
    <xdr:from>
      <xdr:col>0</xdr:col>
      <xdr:colOff>291353</xdr:colOff>
      <xdr:row>44</xdr:row>
      <xdr:rowOff>179294</xdr:rowOff>
    </xdr:from>
    <xdr:ext cx="1191521" cy="901289"/>
    <xdr:pic>
      <xdr:nvPicPr>
        <xdr:cNvPr id="8" name="Picture 7" descr="oilco">
          <a:extLst>
            <a:ext uri="{FF2B5EF4-FFF2-40B4-BE49-F238E27FC236}">
              <a16:creationId xmlns:a16="http://schemas.microsoft.com/office/drawing/2014/main" id="{A7958575-2532-48C7-A9E8-5FED2EACA11D}"/>
            </a:ext>
          </a:extLst>
        </xdr:cNvPr>
        <xdr:cNvPicPr/>
      </xdr:nvPicPr>
      <xdr:blipFill>
        <a:blip xmlns:r="http://schemas.openxmlformats.org/officeDocument/2006/relationships" r:embed="rId6"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44</xdr:row>
      <xdr:rowOff>149485</xdr:rowOff>
    </xdr:from>
    <xdr:ext cx="1526682" cy="519281"/>
    <xdr:pic>
      <xdr:nvPicPr>
        <xdr:cNvPr id="10" name="Picture 9">
          <a:extLst>
            <a:ext uri="{FF2B5EF4-FFF2-40B4-BE49-F238E27FC236}">
              <a16:creationId xmlns:a16="http://schemas.microsoft.com/office/drawing/2014/main" id="{6E9EC506-319A-4F3F-BF65-6625468C288F}"/>
            </a:ext>
          </a:extLst>
        </xdr:cNvPr>
        <xdr:cNvPicPr>
          <a:picLocks noChangeAspect="1"/>
        </xdr:cNvPicPr>
      </xdr:nvPicPr>
      <xdr:blipFill rotWithShape="1">
        <a:blip xmlns:r="http://schemas.openxmlformats.org/officeDocument/2006/relationships" r:embed="rId7"/>
        <a:srcRect b="49004"/>
        <a:stretch/>
      </xdr:blipFill>
      <xdr:spPr>
        <a:xfrm>
          <a:off x="7184194" y="149485"/>
          <a:ext cx="1526682" cy="519281"/>
        </a:xfrm>
        <a:prstGeom prst="rect">
          <a:avLst/>
        </a:prstGeom>
      </xdr:spPr>
    </xdr:pic>
    <xdr:clientData/>
  </xdr:oneCellAnchor>
  <xdr:oneCellAnchor>
    <xdr:from>
      <xdr:col>18</xdr:col>
      <xdr:colOff>308611</xdr:colOff>
      <xdr:row>47</xdr:row>
      <xdr:rowOff>121360</xdr:rowOff>
    </xdr:from>
    <xdr:ext cx="525107" cy="345410"/>
    <xdr:pic>
      <xdr:nvPicPr>
        <xdr:cNvPr id="15" name="Picture 14">
          <a:extLst>
            <a:ext uri="{FF2B5EF4-FFF2-40B4-BE49-F238E27FC236}">
              <a16:creationId xmlns:a16="http://schemas.microsoft.com/office/drawing/2014/main" id="{69F69B5A-5833-41AB-87A6-523B391B2D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1931" y="677620"/>
          <a:ext cx="525107" cy="345410"/>
        </a:xfrm>
        <a:prstGeom prst="rect">
          <a:avLst/>
        </a:prstGeom>
        <a:noFill/>
        <a:ln>
          <a:noFill/>
        </a:ln>
      </xdr:spPr>
    </xdr:pic>
    <xdr:clientData/>
  </xdr:oneCellAnchor>
  <xdr:oneCellAnchor>
    <xdr:from>
      <xdr:col>0</xdr:col>
      <xdr:colOff>291353</xdr:colOff>
      <xdr:row>104</xdr:row>
      <xdr:rowOff>179294</xdr:rowOff>
    </xdr:from>
    <xdr:ext cx="1191521" cy="901289"/>
    <xdr:pic>
      <xdr:nvPicPr>
        <xdr:cNvPr id="16" name="Picture 15" descr="oilco">
          <a:extLst>
            <a:ext uri="{FF2B5EF4-FFF2-40B4-BE49-F238E27FC236}">
              <a16:creationId xmlns:a16="http://schemas.microsoft.com/office/drawing/2014/main" id="{089F9ED9-5138-4340-8889-F5979D4B84AA}"/>
            </a:ext>
          </a:extLst>
        </xdr:cNvPr>
        <xdr:cNvPicPr/>
      </xdr:nvPicPr>
      <xdr:blipFill>
        <a:blip xmlns:r="http://schemas.openxmlformats.org/officeDocument/2006/relationships" r:embed="rId6" cstate="print"/>
        <a:srcRect/>
        <a:stretch>
          <a:fillRect/>
        </a:stretch>
      </xdr:blipFill>
      <xdr:spPr bwMode="auto">
        <a:xfrm>
          <a:off x="291353" y="8652734"/>
          <a:ext cx="1191521" cy="901289"/>
        </a:xfrm>
        <a:prstGeom prst="rect">
          <a:avLst/>
        </a:prstGeom>
        <a:noFill/>
        <a:ln w="9525">
          <a:noFill/>
          <a:miter lim="800000"/>
          <a:headEnd/>
          <a:tailEnd/>
        </a:ln>
      </xdr:spPr>
    </xdr:pic>
    <xdr:clientData/>
  </xdr:oneCellAnchor>
  <xdr:oneCellAnchor>
    <xdr:from>
      <xdr:col>17</xdr:col>
      <xdr:colOff>249994</xdr:colOff>
      <xdr:row>104</xdr:row>
      <xdr:rowOff>149485</xdr:rowOff>
    </xdr:from>
    <xdr:ext cx="1526682" cy="519281"/>
    <xdr:pic>
      <xdr:nvPicPr>
        <xdr:cNvPr id="17" name="Picture 16">
          <a:extLst>
            <a:ext uri="{FF2B5EF4-FFF2-40B4-BE49-F238E27FC236}">
              <a16:creationId xmlns:a16="http://schemas.microsoft.com/office/drawing/2014/main" id="{0D3F3619-8C45-4F31-917B-5DFC91F3F755}"/>
            </a:ext>
          </a:extLst>
        </xdr:cNvPr>
        <xdr:cNvPicPr>
          <a:picLocks noChangeAspect="1"/>
        </xdr:cNvPicPr>
      </xdr:nvPicPr>
      <xdr:blipFill rotWithShape="1">
        <a:blip xmlns:r="http://schemas.openxmlformats.org/officeDocument/2006/relationships" r:embed="rId7"/>
        <a:srcRect b="49004"/>
        <a:stretch/>
      </xdr:blipFill>
      <xdr:spPr>
        <a:xfrm>
          <a:off x="7184194" y="8622925"/>
          <a:ext cx="1526682" cy="519281"/>
        </a:xfrm>
        <a:prstGeom prst="rect">
          <a:avLst/>
        </a:prstGeom>
      </xdr:spPr>
    </xdr:pic>
    <xdr:clientData/>
  </xdr:oneCellAnchor>
  <xdr:oneCellAnchor>
    <xdr:from>
      <xdr:col>18</xdr:col>
      <xdr:colOff>308611</xdr:colOff>
      <xdr:row>107</xdr:row>
      <xdr:rowOff>121360</xdr:rowOff>
    </xdr:from>
    <xdr:ext cx="525107" cy="345410"/>
    <xdr:pic>
      <xdr:nvPicPr>
        <xdr:cNvPr id="18" name="Picture 17">
          <a:extLst>
            <a:ext uri="{FF2B5EF4-FFF2-40B4-BE49-F238E27FC236}">
              <a16:creationId xmlns:a16="http://schemas.microsoft.com/office/drawing/2014/main" id="{D232E339-09EB-43EB-9199-DC740ED6B0E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1931" y="9158680"/>
          <a:ext cx="525107" cy="345410"/>
        </a:xfrm>
        <a:prstGeom prst="rect">
          <a:avLst/>
        </a:prstGeom>
        <a:noFill/>
        <a:ln>
          <a:noFill/>
        </a:ln>
      </xdr:spPr>
    </xdr:pic>
    <xdr:clientData/>
  </xdr:oneCellAnchor>
  <xdr:twoCellAnchor editAs="oneCell">
    <xdr:from>
      <xdr:col>5</xdr:col>
      <xdr:colOff>63707</xdr:colOff>
      <xdr:row>114</xdr:row>
      <xdr:rowOff>114300</xdr:rowOff>
    </xdr:from>
    <xdr:to>
      <xdr:col>12</xdr:col>
      <xdr:colOff>65637</xdr:colOff>
      <xdr:row>118</xdr:row>
      <xdr:rowOff>68580</xdr:rowOff>
    </xdr:to>
    <xdr:pic>
      <xdr:nvPicPr>
        <xdr:cNvPr id="20" name="Picture 19">
          <a:extLst>
            <a:ext uri="{FF2B5EF4-FFF2-40B4-BE49-F238E27FC236}">
              <a16:creationId xmlns:a16="http://schemas.microsoft.com/office/drawing/2014/main" id="{9CAAB26D-01E1-4239-B53B-5EC929D2FDB7}"/>
            </a:ext>
          </a:extLst>
        </xdr:cNvPr>
        <xdr:cNvPicPr>
          <a:picLocks noChangeAspect="1"/>
        </xdr:cNvPicPr>
      </xdr:nvPicPr>
      <xdr:blipFill>
        <a:blip xmlns:r="http://schemas.openxmlformats.org/officeDocument/2006/relationships" r:embed="rId9"/>
        <a:stretch>
          <a:fillRect/>
        </a:stretch>
      </xdr:blipFill>
      <xdr:spPr>
        <a:xfrm>
          <a:off x="2143967" y="21747480"/>
          <a:ext cx="2889910" cy="685800"/>
        </a:xfrm>
        <a:prstGeom prst="rect">
          <a:avLst/>
        </a:prstGeom>
      </xdr:spPr>
    </xdr:pic>
    <xdr:clientData/>
  </xdr:twoCellAnchor>
  <xdr:twoCellAnchor editAs="oneCell">
    <xdr:from>
      <xdr:col>8</xdr:col>
      <xdr:colOff>295590</xdr:colOff>
      <xdr:row>130</xdr:row>
      <xdr:rowOff>167640</xdr:rowOff>
    </xdr:from>
    <xdr:to>
      <xdr:col>10</xdr:col>
      <xdr:colOff>118457</xdr:colOff>
      <xdr:row>132</xdr:row>
      <xdr:rowOff>129540</xdr:rowOff>
    </xdr:to>
    <xdr:pic>
      <xdr:nvPicPr>
        <xdr:cNvPr id="21" name="Picture 20">
          <a:extLst>
            <a:ext uri="{FF2B5EF4-FFF2-40B4-BE49-F238E27FC236}">
              <a16:creationId xmlns:a16="http://schemas.microsoft.com/office/drawing/2014/main" id="{DFB13088-6CB4-4308-8475-1CCEF8404328}"/>
            </a:ext>
          </a:extLst>
        </xdr:cNvPr>
        <xdr:cNvPicPr>
          <a:picLocks noChangeAspect="1"/>
        </xdr:cNvPicPr>
      </xdr:nvPicPr>
      <xdr:blipFill>
        <a:blip xmlns:r="http://schemas.openxmlformats.org/officeDocument/2006/relationships" r:embed="rId10"/>
        <a:stretch>
          <a:fillRect/>
        </a:stretch>
      </xdr:blipFill>
      <xdr:spPr>
        <a:xfrm>
          <a:off x="3495990" y="24810720"/>
          <a:ext cx="600107" cy="327660"/>
        </a:xfrm>
        <a:prstGeom prst="rect">
          <a:avLst/>
        </a:prstGeom>
      </xdr:spPr>
    </xdr:pic>
    <xdr:clientData/>
  </xdr:twoCellAnchor>
  <xdr:twoCellAnchor editAs="oneCell">
    <xdr:from>
      <xdr:col>15</xdr:col>
      <xdr:colOff>0</xdr:colOff>
      <xdr:row>132</xdr:row>
      <xdr:rowOff>144780</xdr:rowOff>
    </xdr:from>
    <xdr:to>
      <xdr:col>19</xdr:col>
      <xdr:colOff>288693</xdr:colOff>
      <xdr:row>132</xdr:row>
      <xdr:rowOff>2139534</xdr:rowOff>
    </xdr:to>
    <xdr:pic>
      <xdr:nvPicPr>
        <xdr:cNvPr id="22" name="Picture 21">
          <a:extLst>
            <a:ext uri="{FF2B5EF4-FFF2-40B4-BE49-F238E27FC236}">
              <a16:creationId xmlns:a16="http://schemas.microsoft.com/office/drawing/2014/main" id="{2AAB2F10-2F99-41EF-AC0D-97D3FCD31F39}"/>
            </a:ext>
          </a:extLst>
        </xdr:cNvPr>
        <xdr:cNvPicPr>
          <a:picLocks noChangeAspect="1"/>
        </xdr:cNvPicPr>
      </xdr:nvPicPr>
      <xdr:blipFill>
        <a:blip xmlns:r="http://schemas.openxmlformats.org/officeDocument/2006/relationships" r:embed="rId11"/>
        <a:stretch>
          <a:fillRect/>
        </a:stretch>
      </xdr:blipFill>
      <xdr:spPr>
        <a:xfrm>
          <a:off x="6134100" y="25153620"/>
          <a:ext cx="2102253" cy="1930677"/>
        </a:xfrm>
        <a:prstGeom prst="rect">
          <a:avLst/>
        </a:prstGeom>
      </xdr:spPr>
    </xdr:pic>
    <xdr:clientData/>
  </xdr:twoCellAnchor>
  <xdr:twoCellAnchor editAs="oneCell">
    <xdr:from>
      <xdr:col>16</xdr:col>
      <xdr:colOff>83820</xdr:colOff>
      <xdr:row>154</xdr:row>
      <xdr:rowOff>121920</xdr:rowOff>
    </xdr:from>
    <xdr:to>
      <xdr:col>20</xdr:col>
      <xdr:colOff>4157</xdr:colOff>
      <xdr:row>163</xdr:row>
      <xdr:rowOff>88842</xdr:rowOff>
    </xdr:to>
    <xdr:pic>
      <xdr:nvPicPr>
        <xdr:cNvPr id="23" name="Picture 22">
          <a:extLst>
            <a:ext uri="{FF2B5EF4-FFF2-40B4-BE49-F238E27FC236}">
              <a16:creationId xmlns:a16="http://schemas.microsoft.com/office/drawing/2014/main" id="{FDB6C4D6-9857-4E1B-ADD9-0B2F34992DF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06540" y="29367480"/>
          <a:ext cx="1733897" cy="164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34957</xdr:colOff>
      <xdr:row>56</xdr:row>
      <xdr:rowOff>0</xdr:rowOff>
    </xdr:from>
    <xdr:to>
      <xdr:col>17</xdr:col>
      <xdr:colOff>118085</xdr:colOff>
      <xdr:row>58</xdr:row>
      <xdr:rowOff>19050</xdr:rowOff>
    </xdr:to>
    <xdr:sp macro="" textlink="">
      <xdr:nvSpPr>
        <xdr:cNvPr id="24" name="Isosceles Triangle 23">
          <a:extLst>
            <a:ext uri="{FF2B5EF4-FFF2-40B4-BE49-F238E27FC236}">
              <a16:creationId xmlns:a16="http://schemas.microsoft.com/office/drawing/2014/main" id="{00000000-0008-0000-0600-000018000000}"/>
            </a:ext>
          </a:extLst>
        </xdr:cNvPr>
        <xdr:cNvSpPr/>
      </xdr:nvSpPr>
      <xdr:spPr>
        <a:xfrm>
          <a:off x="6416707" y="11308773"/>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16</xdr:col>
      <xdr:colOff>0</xdr:colOff>
      <xdr:row>56</xdr:row>
      <xdr:rowOff>137001</xdr:rowOff>
    </xdr:from>
    <xdr:ext cx="635032" cy="264560"/>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6381750" y="11445774"/>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5" name="TextBox 24"/>
            <xdr:cNvSpPr txBox="1"/>
          </xdr:nvSpPr>
          <xdr:spPr>
            <a:xfrm>
              <a:off x="6381750" y="11445774"/>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13</xdr:col>
      <xdr:colOff>34957</xdr:colOff>
      <xdr:row>166</xdr:row>
      <xdr:rowOff>0</xdr:rowOff>
    </xdr:from>
    <xdr:to>
      <xdr:col>14</xdr:col>
      <xdr:colOff>187358</xdr:colOff>
      <xdr:row>167</xdr:row>
      <xdr:rowOff>183573</xdr:rowOff>
    </xdr:to>
    <xdr:sp macro="" textlink="">
      <xdr:nvSpPr>
        <xdr:cNvPr id="27" name="Isosceles Triangle 26">
          <a:extLst>
            <a:ext uri="{FF2B5EF4-FFF2-40B4-BE49-F238E27FC236}">
              <a16:creationId xmlns:a16="http://schemas.microsoft.com/office/drawing/2014/main" id="{00000000-0008-0000-0600-00001B000000}"/>
            </a:ext>
          </a:extLst>
        </xdr:cNvPr>
        <xdr:cNvSpPr/>
      </xdr:nvSpPr>
      <xdr:spPr>
        <a:xfrm>
          <a:off x="5273707" y="33320182"/>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13</xdr:col>
      <xdr:colOff>0</xdr:colOff>
      <xdr:row>166</xdr:row>
      <xdr:rowOff>137001</xdr:rowOff>
    </xdr:from>
    <xdr:ext cx="635032" cy="264560"/>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5238750" y="33457183"/>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8" name="TextBox 27"/>
            <xdr:cNvSpPr txBox="1"/>
          </xdr:nvSpPr>
          <xdr:spPr>
            <a:xfrm>
              <a:off x="5238750" y="33457183"/>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twoCellAnchor>
    <xdr:from>
      <xdr:col>18</xdr:col>
      <xdr:colOff>34957</xdr:colOff>
      <xdr:row>114</xdr:row>
      <xdr:rowOff>0</xdr:rowOff>
    </xdr:from>
    <xdr:to>
      <xdr:col>19</xdr:col>
      <xdr:colOff>187358</xdr:colOff>
      <xdr:row>116</xdr:row>
      <xdr:rowOff>19050</xdr:rowOff>
    </xdr:to>
    <xdr:sp macro="" textlink="">
      <xdr:nvSpPr>
        <xdr:cNvPr id="29" name="Isosceles Triangle 28">
          <a:extLst>
            <a:ext uri="{FF2B5EF4-FFF2-40B4-BE49-F238E27FC236}">
              <a16:creationId xmlns:a16="http://schemas.microsoft.com/office/drawing/2014/main" id="{00000000-0008-0000-0600-00001D000000}"/>
            </a:ext>
          </a:extLst>
        </xdr:cNvPr>
        <xdr:cNvSpPr/>
      </xdr:nvSpPr>
      <xdr:spPr>
        <a:xfrm>
          <a:off x="7429821" y="2291195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18</xdr:col>
      <xdr:colOff>0</xdr:colOff>
      <xdr:row>114</xdr:row>
      <xdr:rowOff>137001</xdr:rowOff>
    </xdr:from>
    <xdr:ext cx="635032" cy="264560"/>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600-00001E000000}"/>
                </a:ext>
              </a:extLst>
            </xdr:cNvPr>
            <xdr:cNvSpPr txBox="1"/>
          </xdr:nvSpPr>
          <xdr:spPr>
            <a:xfrm>
              <a:off x="7394864" y="2304895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30" name="TextBox 29"/>
            <xdr:cNvSpPr txBox="1"/>
          </xdr:nvSpPr>
          <xdr:spPr>
            <a:xfrm>
              <a:off x="7394864" y="2304895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14</xdr:row>
      <xdr:rowOff>57150</xdr:rowOff>
    </xdr:from>
    <xdr:to>
      <xdr:col>14</xdr:col>
      <xdr:colOff>370205</xdr:colOff>
      <xdr:row>15</xdr:row>
      <xdr:rowOff>3453130</xdr:rowOff>
    </xdr:to>
    <xdr:pic>
      <xdr:nvPicPr>
        <xdr:cNvPr id="4" name="Picture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a:srcRect l="5760"/>
        <a:stretch/>
      </xdr:blipFill>
      <xdr:spPr bwMode="auto">
        <a:xfrm>
          <a:off x="1000125" y="2724150"/>
          <a:ext cx="5193030" cy="35864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180975</xdr:colOff>
      <xdr:row>37</xdr:row>
      <xdr:rowOff>114300</xdr:rowOff>
    </xdr:from>
    <xdr:to>
      <xdr:col>7</xdr:col>
      <xdr:colOff>345440</xdr:colOff>
      <xdr:row>43</xdr:row>
      <xdr:rowOff>23495</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stretch>
          <a:fillRect/>
        </a:stretch>
      </xdr:blipFill>
      <xdr:spPr>
        <a:xfrm>
          <a:off x="514350" y="7162800"/>
          <a:ext cx="2815590" cy="1052195"/>
        </a:xfrm>
        <a:prstGeom prst="rect">
          <a:avLst/>
        </a:prstGeom>
      </xdr:spPr>
    </xdr:pic>
    <xdr:clientData/>
  </xdr:twoCellAnchor>
  <xdr:twoCellAnchor editAs="oneCell">
    <xdr:from>
      <xdr:col>1</xdr:col>
      <xdr:colOff>76200</xdr:colOff>
      <xdr:row>53</xdr:row>
      <xdr:rowOff>171450</xdr:rowOff>
    </xdr:from>
    <xdr:to>
      <xdr:col>16</xdr:col>
      <xdr:colOff>53976</xdr:colOff>
      <xdr:row>68</xdr:row>
      <xdr:rowOff>69851</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3"/>
        <a:stretch>
          <a:fillRect/>
        </a:stretch>
      </xdr:blipFill>
      <xdr:spPr>
        <a:xfrm>
          <a:off x="409575" y="10648950"/>
          <a:ext cx="6448426" cy="2755901"/>
        </a:xfrm>
        <a:prstGeom prst="rect">
          <a:avLst/>
        </a:prstGeom>
      </xdr:spPr>
    </xdr:pic>
    <xdr:clientData/>
  </xdr:twoCellAnchor>
  <xdr:twoCellAnchor editAs="oneCell">
    <xdr:from>
      <xdr:col>0</xdr:col>
      <xdr:colOff>130175</xdr:colOff>
      <xdr:row>91</xdr:row>
      <xdr:rowOff>76200</xdr:rowOff>
    </xdr:from>
    <xdr:to>
      <xdr:col>6</xdr:col>
      <xdr:colOff>71908</xdr:colOff>
      <xdr:row>93</xdr:row>
      <xdr:rowOff>123825</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4"/>
        <a:srcRect l="15160" t="39718" r="60110" b="51600"/>
        <a:stretch/>
      </xdr:blipFill>
      <xdr:spPr>
        <a:xfrm>
          <a:off x="130175" y="18430875"/>
          <a:ext cx="2246783" cy="428625"/>
        </a:xfrm>
        <a:prstGeom prst="rect">
          <a:avLst/>
        </a:prstGeom>
      </xdr:spPr>
    </xdr:pic>
    <xdr:clientData/>
  </xdr:twoCellAnchor>
  <xdr:oneCellAnchor>
    <xdr:from>
      <xdr:col>14</xdr:col>
      <xdr:colOff>19050</xdr:colOff>
      <xdr:row>75</xdr:row>
      <xdr:rowOff>14287</xdr:rowOff>
    </xdr:from>
    <xdr:ext cx="380938"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13" name="TextBox 12"/>
            <xdr:cNvSpPr txBox="1"/>
          </xdr:nvSpPr>
          <xdr:spPr>
            <a:xfrm>
              <a:off x="4105275" y="14682787"/>
              <a:ext cx="3809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𝑀_𝑤=</a:t>
              </a:r>
              <a:endParaRPr lang="en-US" sz="1100"/>
            </a:p>
          </xdr:txBody>
        </xdr:sp>
      </mc:Fallback>
    </mc:AlternateContent>
    <xdr:clientData/>
  </xdr:oneCellAnchor>
  <xdr:oneCellAnchor>
    <xdr:from>
      <xdr:col>8</xdr:col>
      <xdr:colOff>47625</xdr:colOff>
      <xdr:row>77</xdr:row>
      <xdr:rowOff>4762</xdr:rowOff>
    </xdr:from>
    <xdr:ext cx="65" cy="313099"/>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409825" y="15168562"/>
          <a:ext cx="65"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2000"/>
        </a:p>
      </xdr:txBody>
    </xdr:sp>
    <xdr:clientData/>
  </xdr:oneCellAnchor>
  <xdr:oneCellAnchor>
    <xdr:from>
      <xdr:col>8</xdr:col>
      <xdr:colOff>47625</xdr:colOff>
      <xdr:row>77</xdr:row>
      <xdr:rowOff>90487</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409825" y="15254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xdr:col>
      <xdr:colOff>38100</xdr:colOff>
      <xdr:row>77</xdr:row>
      <xdr:rowOff>128587</xdr:rowOff>
    </xdr:from>
    <xdr:ext cx="192745" cy="1722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𝑙</m:t>
                        </m:r>
                      </m:sub>
                    </m:sSub>
                  </m:oMath>
                </m:oMathPara>
              </a14:m>
              <a:endParaRPr lang="en-US" sz="1100"/>
            </a:p>
          </xdr:txBody>
        </xdr:sp>
      </mc:Choice>
      <mc:Fallback xmlns="">
        <xdr:sp macro="" textlink="">
          <xdr:nvSpPr>
            <xdr:cNvPr id="17" name="TextBox 16"/>
            <xdr:cNvSpPr txBox="1"/>
          </xdr:nvSpPr>
          <xdr:spPr>
            <a:xfrm>
              <a:off x="333375" y="15292387"/>
              <a:ext cx="1927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𝑊_𝑙</a:t>
              </a:r>
              <a:endParaRPr lang="en-US" sz="1100"/>
            </a:p>
          </xdr:txBody>
        </xdr:sp>
      </mc:Fallback>
    </mc:AlternateContent>
    <xdr:clientData/>
  </xdr:oneCellAnchor>
  <xdr:twoCellAnchor>
    <xdr:from>
      <xdr:col>2</xdr:col>
      <xdr:colOff>47625</xdr:colOff>
      <xdr:row>76</xdr:row>
      <xdr:rowOff>85725</xdr:rowOff>
    </xdr:from>
    <xdr:to>
      <xdr:col>2</xdr:col>
      <xdr:colOff>203073</xdr:colOff>
      <xdr:row>78</xdr:row>
      <xdr:rowOff>314325</xdr:rowOff>
    </xdr:to>
    <xdr:sp macro="" textlink="">
      <xdr:nvSpPr>
        <xdr:cNvPr id="18" name="Left Brace 17">
          <a:extLst>
            <a:ext uri="{FF2B5EF4-FFF2-40B4-BE49-F238E27FC236}">
              <a16:creationId xmlns:a16="http://schemas.microsoft.com/office/drawing/2014/main" id="{00000000-0008-0000-0700-000012000000}"/>
            </a:ext>
          </a:extLst>
        </xdr:cNvPr>
        <xdr:cNvSpPr/>
      </xdr:nvSpPr>
      <xdr:spPr>
        <a:xfrm>
          <a:off x="638175" y="14944725"/>
          <a:ext cx="155448" cy="9144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xdr:col>
      <xdr:colOff>104775</xdr:colOff>
      <xdr:row>83</xdr:row>
      <xdr:rowOff>123825</xdr:rowOff>
    </xdr:from>
    <xdr:to>
      <xdr:col>6</xdr:col>
      <xdr:colOff>314325</xdr:colOff>
      <xdr:row>88</xdr:row>
      <xdr:rowOff>133350</xdr:rowOff>
    </xdr:to>
    <xdr:pic>
      <xdr:nvPicPr>
        <xdr:cNvPr id="20" name="Picture 19">
          <a:extLst>
            <a:ext uri="{FF2B5EF4-FFF2-40B4-BE49-F238E27FC236}">
              <a16:creationId xmlns:a16="http://schemas.microsoft.com/office/drawing/2014/main" id="{00000000-0008-0000-0700-000014000000}"/>
            </a:ext>
          </a:extLst>
        </xdr:cNvPr>
        <xdr:cNvPicPr/>
      </xdr:nvPicPr>
      <xdr:blipFill>
        <a:blip xmlns:r="http://schemas.openxmlformats.org/officeDocument/2006/relationships" r:embed="rId2"/>
        <a:stretch>
          <a:fillRect/>
        </a:stretch>
      </xdr:blipFill>
      <xdr:spPr>
        <a:xfrm>
          <a:off x="400050" y="16811625"/>
          <a:ext cx="2133600" cy="962025"/>
        </a:xfrm>
        <a:prstGeom prst="rect">
          <a:avLst/>
        </a:prstGeom>
      </xdr:spPr>
    </xdr:pic>
    <xdr:clientData/>
  </xdr:twoCellAnchor>
  <xdr:oneCellAnchor>
    <xdr:from>
      <xdr:col>8</xdr:col>
      <xdr:colOff>180975</xdr:colOff>
      <xdr:row>73</xdr:row>
      <xdr:rowOff>23812</xdr:rowOff>
    </xdr:from>
    <xdr:ext cx="25564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𝑃𝑖</m:t>
                        </m:r>
                      </m:sub>
                    </m:sSub>
                  </m:oMath>
                </m:oMathPara>
              </a14:m>
              <a:endParaRPr lang="en-US" sz="1100"/>
            </a:p>
          </xdr:txBody>
        </xdr:sp>
      </mc:Choice>
      <mc:Fallback xmlns="">
        <xdr:sp macro="" textlink="">
          <xdr:nvSpPr>
            <xdr:cNvPr id="21" name="TextBox 20"/>
            <xdr:cNvSpPr txBox="1"/>
          </xdr:nvSpPr>
          <xdr:spPr>
            <a:xfrm>
              <a:off x="2543175" y="14311312"/>
              <a:ext cx="2556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𝑀_𝑃𝑖</a:t>
              </a:r>
              <a:endParaRPr lang="en-US" sz="1100"/>
            </a:p>
          </xdr:txBody>
        </xdr:sp>
      </mc:Fallback>
    </mc:AlternateContent>
    <xdr:clientData/>
  </xdr:oneCellAnchor>
  <xdr:oneCellAnchor>
    <xdr:from>
      <xdr:col>10</xdr:col>
      <xdr:colOff>180975</xdr:colOff>
      <xdr:row>73</xdr:row>
      <xdr:rowOff>23812</xdr:rowOff>
    </xdr:from>
    <xdr:ext cx="177420" cy="1722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𝑃</m:t>
                        </m:r>
                      </m:sub>
                    </m:sSub>
                  </m:oMath>
                </m:oMathPara>
              </a14:m>
              <a:endParaRPr lang="en-US" sz="1100"/>
            </a:p>
          </xdr:txBody>
        </xdr:sp>
      </mc:Choice>
      <mc:Fallback xmlns="">
        <xdr:sp macro="" textlink="">
          <xdr:nvSpPr>
            <xdr:cNvPr id="22" name="TextBox 21"/>
            <xdr:cNvSpPr txBox="1"/>
          </xdr:nvSpPr>
          <xdr:spPr>
            <a:xfrm>
              <a:off x="3133725" y="14311312"/>
              <a:ext cx="1774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𝐹_𝑃</a:t>
              </a:r>
              <a:endParaRPr lang="en-US" sz="1100"/>
            </a:p>
          </xdr:txBody>
        </xdr:sp>
      </mc:Fallback>
    </mc:AlternateContent>
    <xdr:clientData/>
  </xdr:oneCellAnchor>
  <xdr:oneCellAnchor>
    <xdr:from>
      <xdr:col>0</xdr:col>
      <xdr:colOff>291353</xdr:colOff>
      <xdr:row>0</xdr:row>
      <xdr:rowOff>179294</xdr:rowOff>
    </xdr:from>
    <xdr:ext cx="1191521" cy="901289"/>
    <xdr:pic>
      <xdr:nvPicPr>
        <xdr:cNvPr id="6" name="Picture 5" descr="oilco">
          <a:extLst>
            <a:ext uri="{FF2B5EF4-FFF2-40B4-BE49-F238E27FC236}">
              <a16:creationId xmlns:a16="http://schemas.microsoft.com/office/drawing/2014/main" id="{D2C31E13-CB10-4886-BFEE-FA04238A73DC}"/>
            </a:ext>
          </a:extLst>
        </xdr:cNvPr>
        <xdr:cNvPicPr/>
      </xdr:nvPicPr>
      <xdr:blipFill>
        <a:blip xmlns:r="http://schemas.openxmlformats.org/officeDocument/2006/relationships" r:embed="rId5" cstate="print"/>
        <a:srcRect/>
        <a:stretch>
          <a:fillRect/>
        </a:stretch>
      </xdr:blipFill>
      <xdr:spPr bwMode="auto">
        <a:xfrm>
          <a:off x="291353" y="19976054"/>
          <a:ext cx="1191521" cy="901289"/>
        </a:xfrm>
        <a:prstGeom prst="rect">
          <a:avLst/>
        </a:prstGeom>
        <a:noFill/>
        <a:ln w="9525">
          <a:noFill/>
          <a:miter lim="800000"/>
          <a:headEnd/>
          <a:tailEnd/>
        </a:ln>
      </xdr:spPr>
    </xdr:pic>
    <xdr:clientData/>
  </xdr:oneCellAnchor>
  <xdr:oneCellAnchor>
    <xdr:from>
      <xdr:col>17</xdr:col>
      <xdr:colOff>249994</xdr:colOff>
      <xdr:row>0</xdr:row>
      <xdr:rowOff>149485</xdr:rowOff>
    </xdr:from>
    <xdr:ext cx="1526682" cy="519281"/>
    <xdr:pic>
      <xdr:nvPicPr>
        <xdr:cNvPr id="7" name="Picture 6">
          <a:extLst>
            <a:ext uri="{FF2B5EF4-FFF2-40B4-BE49-F238E27FC236}">
              <a16:creationId xmlns:a16="http://schemas.microsoft.com/office/drawing/2014/main" id="{7AE9BDC9-3196-4FCC-96C9-B61E51F0D6E4}"/>
            </a:ext>
          </a:extLst>
        </xdr:cNvPr>
        <xdr:cNvPicPr>
          <a:picLocks noChangeAspect="1"/>
        </xdr:cNvPicPr>
      </xdr:nvPicPr>
      <xdr:blipFill rotWithShape="1">
        <a:blip xmlns:r="http://schemas.openxmlformats.org/officeDocument/2006/relationships" r:embed="rId6"/>
        <a:srcRect b="49004"/>
        <a:stretch/>
      </xdr:blipFill>
      <xdr:spPr>
        <a:xfrm>
          <a:off x="7229914" y="19946245"/>
          <a:ext cx="1526682" cy="519281"/>
        </a:xfrm>
        <a:prstGeom prst="rect">
          <a:avLst/>
        </a:prstGeom>
      </xdr:spPr>
    </xdr:pic>
    <xdr:clientData/>
  </xdr:oneCellAnchor>
  <xdr:oneCellAnchor>
    <xdr:from>
      <xdr:col>18</xdr:col>
      <xdr:colOff>308611</xdr:colOff>
      <xdr:row>3</xdr:row>
      <xdr:rowOff>121360</xdr:rowOff>
    </xdr:from>
    <xdr:ext cx="525107" cy="345410"/>
    <xdr:pic>
      <xdr:nvPicPr>
        <xdr:cNvPr id="9" name="Picture 8">
          <a:extLst>
            <a:ext uri="{FF2B5EF4-FFF2-40B4-BE49-F238E27FC236}">
              <a16:creationId xmlns:a16="http://schemas.microsoft.com/office/drawing/2014/main" id="{0C4F1519-18E3-47C6-A4FF-A1C594261E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67651" y="20466760"/>
          <a:ext cx="525107" cy="345410"/>
        </a:xfrm>
        <a:prstGeom prst="rect">
          <a:avLst/>
        </a:prstGeom>
        <a:noFill/>
        <a:ln>
          <a:noFill/>
        </a:ln>
      </xdr:spPr>
    </xdr:pic>
    <xdr:clientData/>
  </xdr:oneCellAnchor>
  <xdr:oneCellAnchor>
    <xdr:from>
      <xdr:col>0</xdr:col>
      <xdr:colOff>291353</xdr:colOff>
      <xdr:row>45</xdr:row>
      <xdr:rowOff>179294</xdr:rowOff>
    </xdr:from>
    <xdr:ext cx="1191521" cy="901289"/>
    <xdr:pic>
      <xdr:nvPicPr>
        <xdr:cNvPr id="10" name="Picture 9" descr="oilco">
          <a:extLst>
            <a:ext uri="{FF2B5EF4-FFF2-40B4-BE49-F238E27FC236}">
              <a16:creationId xmlns:a16="http://schemas.microsoft.com/office/drawing/2014/main" id="{2CE01B62-C841-40AF-B398-757C6E1B94EB}"/>
            </a:ext>
          </a:extLst>
        </xdr:cNvPr>
        <xdr:cNvPicPr/>
      </xdr:nvPicPr>
      <xdr:blipFill>
        <a:blip xmlns:r="http://schemas.openxmlformats.org/officeDocument/2006/relationships" r:embed="rId5" cstate="print"/>
        <a:srcRect/>
        <a:stretch>
          <a:fillRect/>
        </a:stretch>
      </xdr:blipFill>
      <xdr:spPr bwMode="auto">
        <a:xfrm>
          <a:off x="291353" y="179294"/>
          <a:ext cx="1191521" cy="901289"/>
        </a:xfrm>
        <a:prstGeom prst="rect">
          <a:avLst/>
        </a:prstGeom>
        <a:noFill/>
        <a:ln w="9525">
          <a:noFill/>
          <a:miter lim="800000"/>
          <a:headEnd/>
          <a:tailEnd/>
        </a:ln>
      </xdr:spPr>
    </xdr:pic>
    <xdr:clientData/>
  </xdr:oneCellAnchor>
  <xdr:oneCellAnchor>
    <xdr:from>
      <xdr:col>17</xdr:col>
      <xdr:colOff>249994</xdr:colOff>
      <xdr:row>45</xdr:row>
      <xdr:rowOff>149485</xdr:rowOff>
    </xdr:from>
    <xdr:ext cx="1526682" cy="519281"/>
    <xdr:pic>
      <xdr:nvPicPr>
        <xdr:cNvPr id="19" name="Picture 18">
          <a:extLst>
            <a:ext uri="{FF2B5EF4-FFF2-40B4-BE49-F238E27FC236}">
              <a16:creationId xmlns:a16="http://schemas.microsoft.com/office/drawing/2014/main" id="{4FAC64B8-A875-420B-9E5E-4F91193E6D61}"/>
            </a:ext>
          </a:extLst>
        </xdr:cNvPr>
        <xdr:cNvPicPr>
          <a:picLocks noChangeAspect="1"/>
        </xdr:cNvPicPr>
      </xdr:nvPicPr>
      <xdr:blipFill rotWithShape="1">
        <a:blip xmlns:r="http://schemas.openxmlformats.org/officeDocument/2006/relationships" r:embed="rId6"/>
        <a:srcRect b="49004"/>
        <a:stretch/>
      </xdr:blipFill>
      <xdr:spPr>
        <a:xfrm>
          <a:off x="6856534" y="149485"/>
          <a:ext cx="1526682" cy="519281"/>
        </a:xfrm>
        <a:prstGeom prst="rect">
          <a:avLst/>
        </a:prstGeom>
      </xdr:spPr>
    </xdr:pic>
    <xdr:clientData/>
  </xdr:oneCellAnchor>
  <xdr:oneCellAnchor>
    <xdr:from>
      <xdr:col>18</xdr:col>
      <xdr:colOff>308611</xdr:colOff>
      <xdr:row>48</xdr:row>
      <xdr:rowOff>121360</xdr:rowOff>
    </xdr:from>
    <xdr:ext cx="525107" cy="345410"/>
    <xdr:pic>
      <xdr:nvPicPr>
        <xdr:cNvPr id="23" name="Picture 22">
          <a:extLst>
            <a:ext uri="{FF2B5EF4-FFF2-40B4-BE49-F238E27FC236}">
              <a16:creationId xmlns:a16="http://schemas.microsoft.com/office/drawing/2014/main" id="{FC2F9DB9-D618-421B-8D13-A16521383A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03771" y="677620"/>
          <a:ext cx="525107" cy="345410"/>
        </a:xfrm>
        <a:prstGeom prst="rect">
          <a:avLst/>
        </a:prstGeom>
        <a:noFill/>
        <a:ln>
          <a:noFill/>
        </a:ln>
      </xdr:spPr>
    </xdr:pic>
    <xdr:clientData/>
  </xdr:oneCellAnchor>
  <xdr:twoCellAnchor>
    <xdr:from>
      <xdr:col>17</xdr:col>
      <xdr:colOff>34957</xdr:colOff>
      <xdr:row>80</xdr:row>
      <xdr:rowOff>0</xdr:rowOff>
    </xdr:from>
    <xdr:to>
      <xdr:col>18</xdr:col>
      <xdr:colOff>187358</xdr:colOff>
      <xdr:row>82</xdr:row>
      <xdr:rowOff>19050</xdr:rowOff>
    </xdr:to>
    <xdr:sp macro="" textlink="">
      <xdr:nvSpPr>
        <xdr:cNvPr id="24" name="Isosceles Triangle 23">
          <a:extLst>
            <a:ext uri="{FF2B5EF4-FFF2-40B4-BE49-F238E27FC236}">
              <a16:creationId xmlns:a16="http://schemas.microsoft.com/office/drawing/2014/main" id="{00000000-0008-0000-0700-000018000000}"/>
            </a:ext>
          </a:extLst>
        </xdr:cNvPr>
        <xdr:cNvSpPr/>
      </xdr:nvSpPr>
      <xdr:spPr>
        <a:xfrm>
          <a:off x="6511957" y="16354425"/>
          <a:ext cx="533401" cy="400050"/>
        </a:xfrm>
        <a:prstGeom prst="triangle">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n-US" sz="1400"/>
        </a:p>
      </xdr:txBody>
    </xdr:sp>
    <xdr:clientData/>
  </xdr:twoCellAnchor>
  <xdr:oneCellAnchor>
    <xdr:from>
      <xdr:col>17</xdr:col>
      <xdr:colOff>0</xdr:colOff>
      <xdr:row>80</xdr:row>
      <xdr:rowOff>137001</xdr:rowOff>
    </xdr:from>
    <xdr:ext cx="635032" cy="264560"/>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6477000" y="164914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𝑉</m:t>
                    </m:r>
                    <m:r>
                      <a:rPr lang="en-US" sz="1100" b="0" i="1">
                        <a:latin typeface="Cambria Math" panose="02040503050406030204" pitchFamily="18" charset="0"/>
                      </a:rPr>
                      <m:t>01</m:t>
                    </m:r>
                  </m:oMath>
                </m:oMathPara>
              </a14:m>
              <a:endParaRPr lang="en-US" sz="1100">
                <a:latin typeface="+mn-lt"/>
              </a:endParaRPr>
            </a:p>
          </xdr:txBody>
        </xdr:sp>
      </mc:Choice>
      <mc:Fallback xmlns="">
        <xdr:sp macro="" textlink="">
          <xdr:nvSpPr>
            <xdr:cNvPr id="25" name="TextBox 24"/>
            <xdr:cNvSpPr txBox="1"/>
          </xdr:nvSpPr>
          <xdr:spPr>
            <a:xfrm>
              <a:off x="6477000" y="16491426"/>
              <a:ext cx="63503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panose="02040503050406030204" pitchFamily="18" charset="0"/>
                </a:rPr>
                <a:t>𝑉01</a:t>
              </a:r>
              <a:endParaRPr lang="en-US" sz="1100">
                <a:latin typeface="+mn-lt"/>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152400</xdr:rowOff>
    </xdr:from>
    <xdr:ext cx="1047750" cy="657860"/>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xdr:row>
      <xdr:rowOff>9525</xdr:rowOff>
    </xdr:from>
    <xdr:ext cx="1047750" cy="657860"/>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3</xdr:col>
      <xdr:colOff>161925</xdr:colOff>
      <xdr:row>17</xdr:row>
      <xdr:rowOff>95250</xdr:rowOff>
    </xdr:from>
    <xdr:to>
      <xdr:col>16</xdr:col>
      <xdr:colOff>705485</xdr:colOff>
      <xdr:row>25</xdr:row>
      <xdr:rowOff>149860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a:fillRect/>
        </a:stretch>
      </xdr:blipFill>
      <xdr:spPr>
        <a:xfrm>
          <a:off x="1047750" y="3333750"/>
          <a:ext cx="4382135" cy="1578610"/>
        </a:xfrm>
        <a:prstGeom prst="rect">
          <a:avLst/>
        </a:prstGeom>
      </xdr:spPr>
    </xdr:pic>
    <xdr:clientData/>
  </xdr:twoCellAnchor>
  <xdr:twoCellAnchor editAs="oneCell">
    <xdr:from>
      <xdr:col>3</xdr:col>
      <xdr:colOff>19050</xdr:colOff>
      <xdr:row>29</xdr:row>
      <xdr:rowOff>104775</xdr:rowOff>
    </xdr:from>
    <xdr:to>
      <xdr:col>16</xdr:col>
      <xdr:colOff>697865</xdr:colOff>
      <xdr:row>38</xdr:row>
      <xdr:rowOff>19685</xdr:rowOff>
    </xdr:to>
    <xdr:pic>
      <xdr:nvPicPr>
        <xdr:cNvPr id="5" name="Picture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xfrm>
          <a:off x="1019175" y="5629275"/>
          <a:ext cx="5088890" cy="1629410"/>
        </a:xfrm>
        <a:prstGeom prst="rect">
          <a:avLst/>
        </a:prstGeom>
      </xdr:spPr>
    </xdr:pic>
    <xdr:clientData/>
  </xdr:twoCellAnchor>
  <xdr:oneCellAnchor>
    <xdr:from>
      <xdr:col>0</xdr:col>
      <xdr:colOff>209550</xdr:colOff>
      <xdr:row>47</xdr:row>
      <xdr:rowOff>152400</xdr:rowOff>
    </xdr:from>
    <xdr:ext cx="1047750" cy="657860"/>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52400"/>
          <a:ext cx="1047750" cy="657860"/>
        </a:xfrm>
        <a:prstGeom prst="rect">
          <a:avLst/>
        </a:prstGeom>
      </xdr:spPr>
    </xdr:pic>
    <xdr:clientData/>
  </xdr:oneCellAnchor>
  <xdr:oneCellAnchor>
    <xdr:from>
      <xdr:col>17</xdr:col>
      <xdr:colOff>257175</xdr:colOff>
      <xdr:row>48</xdr:row>
      <xdr:rowOff>9525</xdr:rowOff>
    </xdr:from>
    <xdr:ext cx="1047750" cy="657860"/>
    <xdr:pic>
      <xdr:nvPicPr>
        <xdr:cNvPr id="7" name="Picture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00025"/>
          <a:ext cx="1047750" cy="657860"/>
        </a:xfrm>
        <a:prstGeom prst="rect">
          <a:avLst/>
        </a:prstGeom>
      </xdr:spPr>
    </xdr:pic>
    <xdr:clientData/>
  </xdr:oneCellAnchor>
  <xdr:twoCellAnchor editAs="oneCell">
    <xdr:from>
      <xdr:col>1</xdr:col>
      <xdr:colOff>22515</xdr:colOff>
      <xdr:row>56</xdr:row>
      <xdr:rowOff>36369</xdr:rowOff>
    </xdr:from>
    <xdr:to>
      <xdr:col>3</xdr:col>
      <xdr:colOff>155865</xdr:colOff>
      <xdr:row>57</xdr:row>
      <xdr:rowOff>95250</xdr:rowOff>
    </xdr:to>
    <xdr:pic>
      <xdr:nvPicPr>
        <xdr:cNvPr id="8" name="Picture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4"/>
        <a:stretch>
          <a:fillRect/>
        </a:stretch>
      </xdr:blipFill>
      <xdr:spPr>
        <a:xfrm>
          <a:off x="316924" y="10704369"/>
          <a:ext cx="722168" cy="249381"/>
        </a:xfrm>
        <a:prstGeom prst="rect">
          <a:avLst/>
        </a:prstGeom>
      </xdr:spPr>
    </xdr:pic>
    <xdr:clientData/>
  </xdr:twoCellAnchor>
  <xdr:twoCellAnchor editAs="oneCell">
    <xdr:from>
      <xdr:col>9</xdr:col>
      <xdr:colOff>314325</xdr:colOff>
      <xdr:row>55</xdr:row>
      <xdr:rowOff>66675</xdr:rowOff>
    </xdr:from>
    <xdr:to>
      <xdr:col>13</xdr:col>
      <xdr:colOff>180975</xdr:colOff>
      <xdr:row>58</xdr:row>
      <xdr:rowOff>123825</xdr:rowOff>
    </xdr:to>
    <xdr:pic>
      <xdr:nvPicPr>
        <xdr:cNvPr id="9" name="Picture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5"/>
        <a:stretch>
          <a:fillRect/>
        </a:stretch>
      </xdr:blipFill>
      <xdr:spPr>
        <a:xfrm>
          <a:off x="3314700" y="10544175"/>
          <a:ext cx="1200150" cy="628650"/>
        </a:xfrm>
        <a:prstGeom prst="rect">
          <a:avLst/>
        </a:prstGeom>
      </xdr:spPr>
    </xdr:pic>
    <xdr:clientData/>
  </xdr:twoCellAnchor>
  <xdr:twoCellAnchor editAs="oneCell">
    <xdr:from>
      <xdr:col>1</xdr:col>
      <xdr:colOff>219075</xdr:colOff>
      <xdr:row>59</xdr:row>
      <xdr:rowOff>123825</xdr:rowOff>
    </xdr:from>
    <xdr:to>
      <xdr:col>11</xdr:col>
      <xdr:colOff>215265</xdr:colOff>
      <xdr:row>64</xdr:row>
      <xdr:rowOff>33655</xdr:rowOff>
    </xdr:to>
    <xdr:pic>
      <xdr:nvPicPr>
        <xdr:cNvPr id="10" name="Picture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6"/>
        <a:stretch>
          <a:fillRect/>
        </a:stretch>
      </xdr:blipFill>
      <xdr:spPr>
        <a:xfrm>
          <a:off x="552450" y="11363325"/>
          <a:ext cx="3329940" cy="862330"/>
        </a:xfrm>
        <a:prstGeom prst="rect">
          <a:avLst/>
        </a:prstGeom>
      </xdr:spPr>
    </xdr:pic>
    <xdr:clientData/>
  </xdr:twoCellAnchor>
  <xdr:twoCellAnchor editAs="oneCell">
    <xdr:from>
      <xdr:col>1</xdr:col>
      <xdr:colOff>190500</xdr:colOff>
      <xdr:row>67</xdr:row>
      <xdr:rowOff>38100</xdr:rowOff>
    </xdr:from>
    <xdr:to>
      <xdr:col>18</xdr:col>
      <xdr:colOff>248285</xdr:colOff>
      <xdr:row>73</xdr:row>
      <xdr:rowOff>16510</xdr:rowOff>
    </xdr:to>
    <xdr:pic>
      <xdr:nvPicPr>
        <xdr:cNvPr id="11" name="Picture 10">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7"/>
        <a:stretch>
          <a:fillRect/>
        </a:stretch>
      </xdr:blipFill>
      <xdr:spPr>
        <a:xfrm>
          <a:off x="523875" y="12801600"/>
          <a:ext cx="6277610" cy="1121410"/>
        </a:xfrm>
        <a:prstGeom prst="rect">
          <a:avLst/>
        </a:prstGeom>
      </xdr:spPr>
    </xdr:pic>
    <xdr:clientData/>
  </xdr:twoCellAnchor>
  <xdr:twoCellAnchor editAs="oneCell">
    <xdr:from>
      <xdr:col>1</xdr:col>
      <xdr:colOff>142875</xdr:colOff>
      <xdr:row>75</xdr:row>
      <xdr:rowOff>114300</xdr:rowOff>
    </xdr:from>
    <xdr:to>
      <xdr:col>15</xdr:col>
      <xdr:colOff>46355</xdr:colOff>
      <xdr:row>82</xdr:row>
      <xdr:rowOff>48260</xdr:rowOff>
    </xdr:to>
    <xdr:pic>
      <xdr:nvPicPr>
        <xdr:cNvPr id="12" name="Picture 11">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8"/>
        <a:stretch>
          <a:fillRect/>
        </a:stretch>
      </xdr:blipFill>
      <xdr:spPr>
        <a:xfrm>
          <a:off x="476250" y="14592300"/>
          <a:ext cx="4570730" cy="1267460"/>
        </a:xfrm>
        <a:prstGeom prst="rect">
          <a:avLst/>
        </a:prstGeom>
      </xdr:spPr>
    </xdr:pic>
    <xdr:clientData/>
  </xdr:twoCellAnchor>
  <xdr:twoCellAnchor editAs="oneCell">
    <xdr:from>
      <xdr:col>1</xdr:col>
      <xdr:colOff>28575</xdr:colOff>
      <xdr:row>85</xdr:row>
      <xdr:rowOff>66675</xdr:rowOff>
    </xdr:from>
    <xdr:to>
      <xdr:col>7</xdr:col>
      <xdr:colOff>227965</xdr:colOff>
      <xdr:row>89</xdr:row>
      <xdr:rowOff>162560</xdr:rowOff>
    </xdr:to>
    <xdr:pic>
      <xdr:nvPicPr>
        <xdr:cNvPr id="13" name="Picture 12">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9"/>
        <a:stretch>
          <a:fillRect/>
        </a:stretch>
      </xdr:blipFill>
      <xdr:spPr>
        <a:xfrm>
          <a:off x="361950" y="16449675"/>
          <a:ext cx="2199640" cy="857885"/>
        </a:xfrm>
        <a:prstGeom prst="rect">
          <a:avLst/>
        </a:prstGeom>
      </xdr:spPr>
    </xdr:pic>
    <xdr:clientData/>
  </xdr:twoCellAnchor>
  <xdr:twoCellAnchor editAs="oneCell">
    <xdr:from>
      <xdr:col>1</xdr:col>
      <xdr:colOff>104775</xdr:colOff>
      <xdr:row>90</xdr:row>
      <xdr:rowOff>114300</xdr:rowOff>
    </xdr:from>
    <xdr:to>
      <xdr:col>12</xdr:col>
      <xdr:colOff>74930</xdr:colOff>
      <xdr:row>92</xdr:row>
      <xdr:rowOff>104140</xdr:rowOff>
    </xdr:to>
    <xdr:pic>
      <xdr:nvPicPr>
        <xdr:cNvPr id="14" name="Picture 13">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10"/>
        <a:stretch>
          <a:fillRect/>
        </a:stretch>
      </xdr:blipFill>
      <xdr:spPr>
        <a:xfrm>
          <a:off x="438150" y="17449800"/>
          <a:ext cx="3637280" cy="370840"/>
        </a:xfrm>
        <a:prstGeom prst="rect">
          <a:avLst/>
        </a:prstGeom>
      </xdr:spPr>
    </xdr:pic>
    <xdr:clientData/>
  </xdr:twoCellAnchor>
  <xdr:oneCellAnchor>
    <xdr:from>
      <xdr:col>0</xdr:col>
      <xdr:colOff>209550</xdr:colOff>
      <xdr:row>94</xdr:row>
      <xdr:rowOff>152400</xdr:rowOff>
    </xdr:from>
    <xdr:ext cx="1047750" cy="657860"/>
    <xdr:pic>
      <xdr:nvPicPr>
        <xdr:cNvPr id="15" name="Picture 14">
          <a:extLst>
            <a:ext uri="{FF2B5EF4-FFF2-40B4-BE49-F238E27FC236}">
              <a16:creationId xmlns:a16="http://schemas.microsoft.com/office/drawing/2014/main" id="{00000000-0008-0000-08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9105900"/>
          <a:ext cx="1047750" cy="657860"/>
        </a:xfrm>
        <a:prstGeom prst="rect">
          <a:avLst/>
        </a:prstGeom>
      </xdr:spPr>
    </xdr:pic>
    <xdr:clientData/>
  </xdr:oneCellAnchor>
  <xdr:oneCellAnchor>
    <xdr:from>
      <xdr:col>17</xdr:col>
      <xdr:colOff>257175</xdr:colOff>
      <xdr:row>95</xdr:row>
      <xdr:rowOff>9525</xdr:rowOff>
    </xdr:from>
    <xdr:ext cx="1047750" cy="657860"/>
    <xdr:pic>
      <xdr:nvPicPr>
        <xdr:cNvPr id="16" name="Picture 15">
          <a:extLst>
            <a:ext uri="{FF2B5EF4-FFF2-40B4-BE49-F238E27FC236}">
              <a16:creationId xmlns:a16="http://schemas.microsoft.com/office/drawing/2014/main" id="{00000000-0008-0000-08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9153525"/>
          <a:ext cx="1047750" cy="657860"/>
        </a:xfrm>
        <a:prstGeom prst="rect">
          <a:avLst/>
        </a:prstGeom>
      </xdr:spPr>
    </xdr:pic>
    <xdr:clientData/>
  </xdr:oneCellAnchor>
  <xdr:twoCellAnchor editAs="oneCell">
    <xdr:from>
      <xdr:col>1</xdr:col>
      <xdr:colOff>38100</xdr:colOff>
      <xdr:row>115</xdr:row>
      <xdr:rowOff>38100</xdr:rowOff>
    </xdr:from>
    <xdr:to>
      <xdr:col>6</xdr:col>
      <xdr:colOff>292735</xdr:colOff>
      <xdr:row>117</xdr:row>
      <xdr:rowOff>114300</xdr:rowOff>
    </xdr:to>
    <xdr:pic>
      <xdr:nvPicPr>
        <xdr:cNvPr id="18" name="Picture 17">
          <a:extLst>
            <a:ext uri="{FF2B5EF4-FFF2-40B4-BE49-F238E27FC236}">
              <a16:creationId xmlns:a16="http://schemas.microsoft.com/office/drawing/2014/main" id="{00000000-0008-0000-0800-000012000000}"/>
            </a:ext>
          </a:extLst>
        </xdr:cNvPr>
        <xdr:cNvPicPr/>
      </xdr:nvPicPr>
      <xdr:blipFill>
        <a:blip xmlns:r="http://schemas.openxmlformats.org/officeDocument/2006/relationships" r:embed="rId11"/>
        <a:stretch>
          <a:fillRect/>
        </a:stretch>
      </xdr:blipFill>
      <xdr:spPr>
        <a:xfrm>
          <a:off x="371475" y="21945600"/>
          <a:ext cx="1940560" cy="457200"/>
        </a:xfrm>
        <a:prstGeom prst="rect">
          <a:avLst/>
        </a:prstGeom>
      </xdr:spPr>
    </xdr:pic>
    <xdr:clientData/>
  </xdr:twoCellAnchor>
  <xdr:twoCellAnchor editAs="oneCell">
    <xdr:from>
      <xdr:col>1</xdr:col>
      <xdr:colOff>200025</xdr:colOff>
      <xdr:row>121</xdr:row>
      <xdr:rowOff>57150</xdr:rowOff>
    </xdr:from>
    <xdr:to>
      <xdr:col>9</xdr:col>
      <xdr:colOff>291465</xdr:colOff>
      <xdr:row>130</xdr:row>
      <xdr:rowOff>73660</xdr:rowOff>
    </xdr:to>
    <xdr:pic>
      <xdr:nvPicPr>
        <xdr:cNvPr id="19" name="Picture 18">
          <a:extLst>
            <a:ext uri="{FF2B5EF4-FFF2-40B4-BE49-F238E27FC236}">
              <a16:creationId xmlns:a16="http://schemas.microsoft.com/office/drawing/2014/main" id="{00000000-0008-0000-0800-000013000000}"/>
            </a:ext>
          </a:extLst>
        </xdr:cNvPr>
        <xdr:cNvPicPr/>
      </xdr:nvPicPr>
      <xdr:blipFill>
        <a:blip xmlns:r="http://schemas.openxmlformats.org/officeDocument/2006/relationships" r:embed="rId12"/>
        <a:stretch>
          <a:fillRect/>
        </a:stretch>
      </xdr:blipFill>
      <xdr:spPr>
        <a:xfrm>
          <a:off x="533400" y="23107650"/>
          <a:ext cx="2777490" cy="1731010"/>
        </a:xfrm>
        <a:prstGeom prst="rect">
          <a:avLst/>
        </a:prstGeom>
      </xdr:spPr>
    </xdr:pic>
    <xdr:clientData/>
  </xdr:twoCellAnchor>
  <xdr:oneCellAnchor>
    <xdr:from>
      <xdr:col>0</xdr:col>
      <xdr:colOff>209550</xdr:colOff>
      <xdr:row>141</xdr:row>
      <xdr:rowOff>152400</xdr:rowOff>
    </xdr:from>
    <xdr:ext cx="1047750" cy="657860"/>
    <xdr:pic>
      <xdr:nvPicPr>
        <xdr:cNvPr id="21" name="Picture 20">
          <a:extLst>
            <a:ext uri="{FF2B5EF4-FFF2-40B4-BE49-F238E27FC236}">
              <a16:creationId xmlns:a16="http://schemas.microsoft.com/office/drawing/2014/main" id="{00000000-0008-0000-08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59400"/>
          <a:ext cx="1047750" cy="657860"/>
        </a:xfrm>
        <a:prstGeom prst="rect">
          <a:avLst/>
        </a:prstGeom>
      </xdr:spPr>
    </xdr:pic>
    <xdr:clientData/>
  </xdr:oneCellAnchor>
  <xdr:oneCellAnchor>
    <xdr:from>
      <xdr:col>17</xdr:col>
      <xdr:colOff>257175</xdr:colOff>
      <xdr:row>142</xdr:row>
      <xdr:rowOff>9525</xdr:rowOff>
    </xdr:from>
    <xdr:ext cx="1047750" cy="657860"/>
    <xdr:pic>
      <xdr:nvPicPr>
        <xdr:cNvPr id="22" name="Picture 21">
          <a:extLst>
            <a:ext uri="{FF2B5EF4-FFF2-40B4-BE49-F238E27FC236}">
              <a16:creationId xmlns:a16="http://schemas.microsoft.com/office/drawing/2014/main" id="{00000000-0008-0000-0800-00001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18107025"/>
          <a:ext cx="1047750" cy="657860"/>
        </a:xfrm>
        <a:prstGeom prst="rect">
          <a:avLst/>
        </a:prstGeom>
      </xdr:spPr>
    </xdr:pic>
    <xdr:clientData/>
  </xdr:oneCellAnchor>
  <xdr:twoCellAnchor editAs="oneCell">
    <xdr:from>
      <xdr:col>1</xdr:col>
      <xdr:colOff>104775</xdr:colOff>
      <xdr:row>149</xdr:row>
      <xdr:rowOff>180975</xdr:rowOff>
    </xdr:from>
    <xdr:to>
      <xdr:col>7</xdr:col>
      <xdr:colOff>57150</xdr:colOff>
      <xdr:row>154</xdr:row>
      <xdr:rowOff>104775</xdr:rowOff>
    </xdr:to>
    <xdr:pic>
      <xdr:nvPicPr>
        <xdr:cNvPr id="23" name="Picture 22">
          <a:extLst>
            <a:ext uri="{FF2B5EF4-FFF2-40B4-BE49-F238E27FC236}">
              <a16:creationId xmlns:a16="http://schemas.microsoft.com/office/drawing/2014/main" id="{00000000-0008-0000-0800-000017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28565475"/>
          <a:ext cx="1952625" cy="876300"/>
        </a:xfrm>
        <a:prstGeom prst="rect">
          <a:avLst/>
        </a:prstGeom>
        <a:noFill/>
        <a:ln>
          <a:noFill/>
        </a:ln>
      </xdr:spPr>
    </xdr:pic>
    <xdr:clientData/>
  </xdr:twoCellAnchor>
  <xdr:twoCellAnchor editAs="oneCell">
    <xdr:from>
      <xdr:col>1</xdr:col>
      <xdr:colOff>95250</xdr:colOff>
      <xdr:row>161</xdr:row>
      <xdr:rowOff>76201</xdr:rowOff>
    </xdr:from>
    <xdr:to>
      <xdr:col>7</xdr:col>
      <xdr:colOff>161925</xdr:colOff>
      <xdr:row>165</xdr:row>
      <xdr:rowOff>114301</xdr:rowOff>
    </xdr:to>
    <xdr:pic>
      <xdr:nvPicPr>
        <xdr:cNvPr id="25" name="Picture 24">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8625" y="30746701"/>
          <a:ext cx="2066925" cy="800100"/>
        </a:xfrm>
        <a:prstGeom prst="rect">
          <a:avLst/>
        </a:prstGeom>
        <a:noFill/>
        <a:ln>
          <a:noFill/>
        </a:ln>
      </xdr:spPr>
    </xdr:pic>
    <xdr:clientData/>
  </xdr:twoCellAnchor>
  <xdr:twoCellAnchor editAs="oneCell">
    <xdr:from>
      <xdr:col>1</xdr:col>
      <xdr:colOff>9524</xdr:colOff>
      <xdr:row>177</xdr:row>
      <xdr:rowOff>66676</xdr:rowOff>
    </xdr:from>
    <xdr:to>
      <xdr:col>12</xdr:col>
      <xdr:colOff>200024</xdr:colOff>
      <xdr:row>180</xdr:row>
      <xdr:rowOff>127636</xdr:rowOff>
    </xdr:to>
    <xdr:pic>
      <xdr:nvPicPr>
        <xdr:cNvPr id="26" name="Picture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42899" y="33785176"/>
          <a:ext cx="3857625" cy="632460"/>
        </a:xfrm>
        <a:prstGeom prst="rect">
          <a:avLst/>
        </a:prstGeom>
        <a:noFill/>
        <a:ln>
          <a:noFill/>
        </a:ln>
      </xdr:spPr>
    </xdr:pic>
    <xdr:clientData/>
  </xdr:twoCellAnchor>
  <xdr:oneCellAnchor>
    <xdr:from>
      <xdr:col>1</xdr:col>
      <xdr:colOff>28575</xdr:colOff>
      <xdr:row>181</xdr:row>
      <xdr:rowOff>171450</xdr:rowOff>
    </xdr:from>
    <xdr:ext cx="65" cy="16440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323850" y="34651950"/>
          <a:ext cx="65"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50"/>
        </a:p>
      </xdr:txBody>
    </xdr:sp>
    <xdr:clientData/>
  </xdr:oneCellAnchor>
  <xdr:oneCellAnchor>
    <xdr:from>
      <xdr:col>1</xdr:col>
      <xdr:colOff>171450</xdr:colOff>
      <xdr:row>185</xdr:row>
      <xdr:rowOff>95250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466725" y="3533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209550</xdr:colOff>
      <xdr:row>188</xdr:row>
      <xdr:rowOff>152400</xdr:rowOff>
    </xdr:from>
    <xdr:ext cx="1047750" cy="657860"/>
    <xdr:pic>
      <xdr:nvPicPr>
        <xdr:cNvPr id="31" name="Picture 30">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27012900"/>
          <a:ext cx="1047750" cy="657860"/>
        </a:xfrm>
        <a:prstGeom prst="rect">
          <a:avLst/>
        </a:prstGeom>
      </xdr:spPr>
    </xdr:pic>
    <xdr:clientData/>
  </xdr:oneCellAnchor>
  <xdr:oneCellAnchor>
    <xdr:from>
      <xdr:col>17</xdr:col>
      <xdr:colOff>257175</xdr:colOff>
      <xdr:row>189</xdr:row>
      <xdr:rowOff>9525</xdr:rowOff>
    </xdr:from>
    <xdr:ext cx="1047750" cy="657860"/>
    <xdr:pic>
      <xdr:nvPicPr>
        <xdr:cNvPr id="32" name="Picture 31">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4550" y="27060525"/>
          <a:ext cx="1047750" cy="657860"/>
        </a:xfrm>
        <a:prstGeom prst="rect">
          <a:avLst/>
        </a:prstGeom>
      </xdr:spPr>
    </xdr:pic>
    <xdr:clientData/>
  </xdr:oneCellAnchor>
  <xdr:twoCellAnchor editAs="oneCell">
    <xdr:from>
      <xdr:col>1</xdr:col>
      <xdr:colOff>38100</xdr:colOff>
      <xdr:row>198</xdr:row>
      <xdr:rowOff>114300</xdr:rowOff>
    </xdr:from>
    <xdr:to>
      <xdr:col>15</xdr:col>
      <xdr:colOff>0</xdr:colOff>
      <xdr:row>202</xdr:row>
      <xdr:rowOff>133350</xdr:rowOff>
    </xdr:to>
    <xdr:pic>
      <xdr:nvPicPr>
        <xdr:cNvPr id="33" name="Picture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16"/>
        <a:srcRect l="12284" t="54695" r="51873" b="34627"/>
        <a:stretch/>
      </xdr:blipFill>
      <xdr:spPr>
        <a:xfrm>
          <a:off x="371475" y="37833300"/>
          <a:ext cx="4591050" cy="781050"/>
        </a:xfrm>
        <a:prstGeom prst="rect">
          <a:avLst/>
        </a:prstGeom>
      </xdr:spPr>
    </xdr:pic>
    <xdr:clientData/>
  </xdr:twoCellAnchor>
  <xdr:oneCellAnchor>
    <xdr:from>
      <xdr:col>0</xdr:col>
      <xdr:colOff>287482</xdr:colOff>
      <xdr:row>203</xdr:row>
      <xdr:rowOff>135082</xdr:rowOff>
    </xdr:from>
    <xdr:ext cx="65" cy="156518"/>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287482" y="3880658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00"/>
        </a:p>
      </xdr:txBody>
    </xdr:sp>
    <xdr:clientData/>
  </xdr:oneCellAnchor>
  <xdr:oneCellAnchor>
    <xdr:from>
      <xdr:col>0</xdr:col>
      <xdr:colOff>257176</xdr:colOff>
      <xdr:row>206</xdr:row>
      <xdr:rowOff>171450</xdr:rowOff>
    </xdr:from>
    <xdr:ext cx="2608984" cy="165366"/>
    <xdr:sp macro="" textlink="">
      <xdr:nvSpPr>
        <xdr:cNvPr id="35" name="TextBox 34">
          <a:extLst>
            <a:ext uri="{FF2B5EF4-FFF2-40B4-BE49-F238E27FC236}">
              <a16:creationId xmlns:a16="http://schemas.microsoft.com/office/drawing/2014/main" id="{00000000-0008-0000-0800-000023000000}"/>
            </a:ext>
          </a:extLst>
        </xdr:cNvPr>
        <xdr:cNvSpPr txBox="1"/>
      </xdr:nvSpPr>
      <xdr:spPr>
        <a:xfrm>
          <a:off x="257176" y="39414450"/>
          <a:ext cx="2608984"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US" sz="1100" b="0" i="1">
            <a:solidFill>
              <a:schemeClr val="tx1"/>
            </a:solidFill>
            <a:effectLst/>
            <a:latin typeface="Cambria Math" panose="02040503050406030204" pitchFamily="18" charset="0"/>
            <a:ea typeface="+mn-ea"/>
            <a:cs typeface="+mn-cs"/>
          </a:endParaRPr>
        </a:p>
      </xdr:txBody>
    </xdr:sp>
    <xdr:clientData/>
  </xdr:oneCellAnchor>
  <xdr:twoCellAnchor editAs="oneCell">
    <xdr:from>
      <xdr:col>1</xdr:col>
      <xdr:colOff>238124</xdr:colOff>
      <xdr:row>106</xdr:row>
      <xdr:rowOff>116477</xdr:rowOff>
    </xdr:from>
    <xdr:to>
      <xdr:col>18</xdr:col>
      <xdr:colOff>161924</xdr:colOff>
      <xdr:row>110</xdr:row>
      <xdr:rowOff>161924</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17"/>
        <a:srcRect l="6888" t="28389" r="11466" b="50254"/>
        <a:stretch/>
      </xdr:blipFill>
      <xdr:spPr>
        <a:xfrm>
          <a:off x="533399" y="20309477"/>
          <a:ext cx="5419725" cy="807447"/>
        </a:xfrm>
        <a:prstGeom prst="rect">
          <a:avLst/>
        </a:prstGeom>
      </xdr:spPr>
    </xdr:pic>
    <xdr:clientData/>
  </xdr:twoCellAnchor>
  <xdr:twoCellAnchor editAs="oneCell">
    <xdr:from>
      <xdr:col>1</xdr:col>
      <xdr:colOff>107158</xdr:colOff>
      <xdr:row>135</xdr:row>
      <xdr:rowOff>173835</xdr:rowOff>
    </xdr:from>
    <xdr:to>
      <xdr:col>17</xdr:col>
      <xdr:colOff>238126</xdr:colOff>
      <xdr:row>139</xdr:row>
      <xdr:rowOff>130970</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rotWithShape="1">
        <a:blip xmlns:r="http://schemas.openxmlformats.org/officeDocument/2006/relationships" r:embed="rId18"/>
        <a:srcRect l="8566" t="41672" r="9078" b="39446"/>
        <a:stretch/>
      </xdr:blipFill>
      <xdr:spPr>
        <a:xfrm>
          <a:off x="404814" y="25891335"/>
          <a:ext cx="5369718" cy="719135"/>
        </a:xfrm>
        <a:prstGeom prst="rect">
          <a:avLst/>
        </a:prstGeom>
      </xdr:spPr>
    </xdr:pic>
    <xdr:clientData/>
  </xdr:twoCellAnchor>
  <xdr:twoCellAnchor editAs="oneCell">
    <xdr:from>
      <xdr:col>0</xdr:col>
      <xdr:colOff>34638</xdr:colOff>
      <xdr:row>157</xdr:row>
      <xdr:rowOff>43296</xdr:rowOff>
    </xdr:from>
    <xdr:to>
      <xdr:col>7</xdr:col>
      <xdr:colOff>244379</xdr:colOff>
      <xdr:row>159</xdr:row>
      <xdr:rowOff>181841</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19"/>
        <a:srcRect l="7929" t="51269" r="68784" b="38121"/>
        <a:stretch/>
      </xdr:blipFill>
      <xdr:spPr>
        <a:xfrm>
          <a:off x="34638" y="29951796"/>
          <a:ext cx="2270605" cy="519545"/>
        </a:xfrm>
        <a:prstGeom prst="rect">
          <a:avLst/>
        </a:prstGeom>
      </xdr:spPr>
    </xdr:pic>
    <xdr:clientData/>
  </xdr:twoCellAnchor>
  <xdr:twoCellAnchor editAs="oneCell">
    <xdr:from>
      <xdr:col>1</xdr:col>
      <xdr:colOff>32038</xdr:colOff>
      <xdr:row>166</xdr:row>
      <xdr:rowOff>12123</xdr:rowOff>
    </xdr:from>
    <xdr:to>
      <xdr:col>7</xdr:col>
      <xdr:colOff>134228</xdr:colOff>
      <xdr:row>167</xdr:row>
      <xdr:rowOff>142009</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rotWithShape="1">
        <a:blip xmlns:r="http://schemas.openxmlformats.org/officeDocument/2006/relationships" r:embed="rId20"/>
        <a:srcRect l="3739" t="55840" r="76836" b="38354"/>
        <a:stretch/>
      </xdr:blipFill>
      <xdr:spPr>
        <a:xfrm>
          <a:off x="327313" y="31635123"/>
          <a:ext cx="1873840" cy="320386"/>
        </a:xfrm>
        <a:prstGeom prst="rect">
          <a:avLst/>
        </a:prstGeom>
      </xdr:spPr>
    </xdr:pic>
    <xdr:clientData/>
  </xdr:twoCellAnchor>
  <xdr:oneCellAnchor>
    <xdr:from>
      <xdr:col>13</xdr:col>
      <xdr:colOff>1731</xdr:colOff>
      <xdr:row>59</xdr:row>
      <xdr:rowOff>40698</xdr:rowOff>
    </xdr:from>
    <xdr:ext cx="847861" cy="311239"/>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US" sz="900" b="0" i="1">
                            <a:latin typeface="Cambria Math" panose="02040503050406030204" pitchFamily="18" charset="0"/>
                          </a:rPr>
                        </m:ctrlPr>
                      </m:funcPr>
                      <m:fName>
                        <m:r>
                          <m:rPr>
                            <m:sty m:val="p"/>
                          </m:rPr>
                          <a:rPr lang="en-US" sz="900" b="0" i="0">
                            <a:latin typeface="Cambria Math" panose="02040503050406030204" pitchFamily="18" charset="0"/>
                          </a:rPr>
                          <m:t>tanh</m:t>
                        </m:r>
                      </m:fName>
                      <m:e>
                        <m:d>
                          <m:dPr>
                            <m:ctrlPr>
                              <a:rPr lang="en-US" sz="900" b="0" i="1">
                                <a:latin typeface="Cambria Math" panose="02040503050406030204" pitchFamily="18" charset="0"/>
                              </a:rPr>
                            </m:ctrlPr>
                          </m:dPr>
                          <m:e>
                            <m:f>
                              <m:fPr>
                                <m:ctrlPr>
                                  <a:rPr lang="en-US" sz="900" b="0" i="1">
                                    <a:latin typeface="Cambria Math" panose="02040503050406030204" pitchFamily="18" charset="0"/>
                                  </a:rPr>
                                </m:ctrlPr>
                              </m:fPr>
                              <m:num>
                                <m:r>
                                  <a:rPr lang="en-US" sz="900" b="0" i="1">
                                    <a:latin typeface="Cambria Math" panose="02040503050406030204" pitchFamily="18" charset="0"/>
                                  </a:rPr>
                                  <m:t>3</m:t>
                                </m:r>
                                <m:r>
                                  <a:rPr lang="en-US" sz="900" b="0" i="1">
                                    <a:latin typeface="Cambria Math" panose="02040503050406030204" pitchFamily="18" charset="0"/>
                                  </a:rPr>
                                  <m:t>.</m:t>
                                </m:r>
                                <m:r>
                                  <a:rPr lang="en-US" sz="900" b="0" i="1">
                                    <a:latin typeface="Cambria Math" panose="02040503050406030204" pitchFamily="18" charset="0"/>
                                  </a:rPr>
                                  <m:t>68</m:t>
                                </m:r>
                                <m:r>
                                  <a:rPr lang="en-US" sz="900" b="0" i="1">
                                    <a:latin typeface="Cambria Math" panose="02040503050406030204" pitchFamily="18" charset="0"/>
                                  </a:rPr>
                                  <m:t> </m:t>
                                </m:r>
                                <m:r>
                                  <a:rPr lang="en-US" sz="900" b="0" i="1">
                                    <a:latin typeface="Cambria Math" panose="02040503050406030204" pitchFamily="18" charset="0"/>
                                  </a:rPr>
                                  <m:t>𝐻</m:t>
                                </m:r>
                              </m:num>
                              <m:den>
                                <m:r>
                                  <a:rPr lang="en-US" sz="900" b="0" i="1">
                                    <a:latin typeface="Cambria Math" panose="02040503050406030204" pitchFamily="18" charset="0"/>
                                  </a:rPr>
                                  <m:t>𝐷</m:t>
                                </m:r>
                              </m:den>
                            </m:f>
                          </m:e>
                        </m:d>
                      </m:e>
                    </m:func>
                    <m:r>
                      <a:rPr lang="en-US" sz="900" b="0" i="1">
                        <a:latin typeface="Cambria Math" panose="02040503050406030204" pitchFamily="18" charset="0"/>
                      </a:rPr>
                      <m:t>=</m:t>
                    </m:r>
                  </m:oMath>
                </m:oMathPara>
              </a14:m>
              <a:endParaRPr lang="en-US" sz="900"/>
            </a:p>
          </xdr:txBody>
        </xdr:sp>
      </mc:Choice>
      <mc:Fallback xmlns="">
        <xdr:sp macro="" textlink="">
          <xdr:nvSpPr>
            <xdr:cNvPr id="29" name="TextBox 28"/>
            <xdr:cNvSpPr txBox="1"/>
          </xdr:nvSpPr>
          <xdr:spPr>
            <a:xfrm>
              <a:off x="3829049" y="11280198"/>
              <a:ext cx="847861" cy="311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900" b="0" i="0">
                  <a:latin typeface="Cambria Math" panose="02040503050406030204" pitchFamily="18" charset="0"/>
                </a:rPr>
                <a:t>tanh⁡((3.68 𝐻)/𝐷)=</a:t>
              </a:r>
              <a:endParaRPr lang="en-US" sz="900"/>
            </a:p>
          </xdr:txBody>
        </xdr:sp>
      </mc:Fallback>
    </mc:AlternateContent>
    <xdr:clientData/>
  </xdr:oneCellAnchor>
  <xdr:oneCellAnchor>
    <xdr:from>
      <xdr:col>14</xdr:col>
      <xdr:colOff>161925</xdr:colOff>
      <xdr:row>121</xdr:row>
      <xdr:rowOff>109537</xdr:rowOff>
    </xdr:from>
    <xdr:ext cx="193258" cy="172227"/>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800-000024000000}"/>
                </a:ext>
              </a:extLst>
            </xdr:cNvPr>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𝑠</m:t>
                        </m:r>
                      </m:sub>
                    </m:sSub>
                  </m:oMath>
                </m:oMathPara>
              </a14:m>
              <a:endParaRPr lang="en-US" sz="1100"/>
            </a:p>
          </xdr:txBody>
        </xdr:sp>
      </mc:Choice>
      <mc:Fallback xmlns="">
        <xdr:sp macro="" textlink="">
          <xdr:nvSpPr>
            <xdr:cNvPr id="36" name="TextBox 35"/>
            <xdr:cNvSpPr txBox="1"/>
          </xdr:nvSpPr>
          <xdr:spPr>
            <a:xfrm>
              <a:off x="4295775" y="23160037"/>
              <a:ext cx="19325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𝑊_𝑠</a:t>
              </a:r>
              <a:endParaRPr lang="en-US" sz="1100"/>
            </a:p>
          </xdr:txBody>
        </xdr:sp>
      </mc:Fallback>
    </mc:AlternateContent>
    <xdr:clientData/>
  </xdr:oneCellAnchor>
  <xdr:oneCellAnchor>
    <xdr:from>
      <xdr:col>14</xdr:col>
      <xdr:colOff>180975</xdr:colOff>
      <xdr:row>123</xdr:row>
      <xdr:rowOff>119062</xdr:rowOff>
    </xdr:from>
    <xdr:ext cx="199092"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𝑟</m:t>
                        </m:r>
                      </m:sub>
                    </m:sSub>
                  </m:oMath>
                </m:oMathPara>
              </a14:m>
              <a:endParaRPr lang="en-US" sz="1100"/>
            </a:p>
          </xdr:txBody>
        </xdr:sp>
      </mc:Choice>
      <mc:Fallback xmlns="">
        <xdr:sp macro="" textlink="">
          <xdr:nvSpPr>
            <xdr:cNvPr id="38" name="TextBox 37"/>
            <xdr:cNvSpPr txBox="1"/>
          </xdr:nvSpPr>
          <xdr:spPr>
            <a:xfrm>
              <a:off x="4314825" y="23550562"/>
              <a:ext cx="19909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𝑊_𝑟</a:t>
              </a:r>
              <a:endParaRPr lang="en-US" sz="1100"/>
            </a:p>
          </xdr:txBody>
        </xdr:sp>
      </mc:Fallback>
    </mc:AlternateContent>
    <xdr:clientData/>
  </xdr:oneCellAnchor>
  <xdr:oneCellAnchor>
    <xdr:from>
      <xdr:col>14</xdr:col>
      <xdr:colOff>180975</xdr:colOff>
      <xdr:row>125</xdr:row>
      <xdr:rowOff>147637</xdr:rowOff>
    </xdr:from>
    <xdr:ext cx="208968" cy="18312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𝑓</m:t>
                        </m:r>
                      </m:sub>
                    </m:sSub>
                  </m:oMath>
                </m:oMathPara>
              </a14:m>
              <a:endParaRPr lang="en-US" sz="1100"/>
            </a:p>
          </xdr:txBody>
        </xdr:sp>
      </mc:Choice>
      <mc:Fallback xmlns="">
        <xdr:sp macro="" textlink="">
          <xdr:nvSpPr>
            <xdr:cNvPr id="39" name="TextBox 38"/>
            <xdr:cNvSpPr txBox="1"/>
          </xdr:nvSpPr>
          <xdr:spPr>
            <a:xfrm>
              <a:off x="4314825" y="23960137"/>
              <a:ext cx="208968"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𝑊_𝑓</a:t>
              </a:r>
              <a:endParaRPr lang="en-US" sz="1100"/>
            </a:p>
          </xdr:txBody>
        </xdr:sp>
      </mc:Fallback>
    </mc:AlternateContent>
    <xdr:clientData/>
  </xdr:oneCellAnchor>
  <xdr:oneCellAnchor>
    <xdr:from>
      <xdr:col>14</xdr:col>
      <xdr:colOff>171450</xdr:colOff>
      <xdr:row>127</xdr:row>
      <xdr:rowOff>119062</xdr:rowOff>
    </xdr:from>
    <xdr:ext cx="192553"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800-000028000000}"/>
                </a:ext>
              </a:extLst>
            </xdr:cNvPr>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𝑖</m:t>
                        </m:r>
                      </m:sub>
                    </m:sSub>
                  </m:oMath>
                </m:oMathPara>
              </a14:m>
              <a:endParaRPr lang="en-US" sz="1100"/>
            </a:p>
          </xdr:txBody>
        </xdr:sp>
      </mc:Choice>
      <mc:Fallback xmlns="">
        <xdr:sp macro="" textlink="">
          <xdr:nvSpPr>
            <xdr:cNvPr id="40" name="TextBox 39"/>
            <xdr:cNvSpPr txBox="1"/>
          </xdr:nvSpPr>
          <xdr:spPr>
            <a:xfrm>
              <a:off x="4305300" y="24312562"/>
              <a:ext cx="1925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𝑊_𝑖</a:t>
              </a:r>
              <a:endParaRPr lang="en-US" sz="1100"/>
            </a:p>
          </xdr:txBody>
        </xdr:sp>
      </mc:Fallback>
    </mc:AlternateContent>
    <xdr:clientData/>
  </xdr:oneCellAnchor>
  <xdr:oneCellAnchor>
    <xdr:from>
      <xdr:col>1</xdr:col>
      <xdr:colOff>171450</xdr:colOff>
      <xdr:row>131</xdr:row>
      <xdr:rowOff>100012</xdr:rowOff>
    </xdr:from>
    <xdr:ext cx="291426" cy="172227"/>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800-000029000000}"/>
                </a:ext>
              </a:extLst>
            </xdr:cNvPr>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1" name="TextBox 40"/>
            <xdr:cNvSpPr txBox="1"/>
          </xdr:nvSpPr>
          <xdr:spPr>
            <a:xfrm>
              <a:off x="466725" y="25055512"/>
              <a:ext cx="29142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𝑉_𝑖=</a:t>
              </a:r>
              <a:endParaRPr lang="en-US" sz="1100"/>
            </a:p>
          </xdr:txBody>
        </xdr:sp>
      </mc:Fallback>
    </mc:AlternateContent>
    <xdr:clientData/>
  </xdr:oneCellAnchor>
  <xdr:oneCellAnchor>
    <xdr:from>
      <xdr:col>1</xdr:col>
      <xdr:colOff>171450</xdr:colOff>
      <xdr:row>133</xdr:row>
      <xdr:rowOff>119062</xdr:rowOff>
    </xdr:from>
    <xdr:ext cx="223010"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800-00002A000000}"/>
                </a:ext>
              </a:extLst>
            </xdr:cNvPr>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𝑐</m:t>
                        </m:r>
                        <m:r>
                          <a:rPr lang="en-US" sz="1100" b="0" i="1">
                            <a:latin typeface="Cambria Math" panose="02040503050406030204" pitchFamily="18" charset="0"/>
                          </a:rPr>
                          <m:t>=</m:t>
                        </m:r>
                      </m:sub>
                    </m:sSub>
                  </m:oMath>
                </m:oMathPara>
              </a14:m>
              <a:endParaRPr lang="en-US" sz="1100"/>
            </a:p>
          </xdr:txBody>
        </xdr:sp>
      </mc:Choice>
      <mc:Fallback xmlns="">
        <xdr:sp macro="" textlink="">
          <xdr:nvSpPr>
            <xdr:cNvPr id="42" name="TextBox 41"/>
            <xdr:cNvSpPr txBox="1"/>
          </xdr:nvSpPr>
          <xdr:spPr>
            <a:xfrm>
              <a:off x="466725" y="25455562"/>
              <a:ext cx="2230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𝑉_(𝑐=)</a:t>
              </a:r>
              <a:endParaRPr lang="en-US" sz="1100"/>
            </a:p>
          </xdr:txBody>
        </xdr:sp>
      </mc:Fallback>
    </mc:AlternateContent>
    <xdr:clientData/>
  </xdr:oneCellAnchor>
  <xdr:oneCellAnchor>
    <xdr:from>
      <xdr:col>14</xdr:col>
      <xdr:colOff>200025</xdr:colOff>
      <xdr:row>132</xdr:row>
      <xdr:rowOff>109537</xdr:rowOff>
    </xdr:from>
    <xdr:ext cx="150041"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800-00002B000000}"/>
                </a:ext>
              </a:extLst>
            </xdr:cNvPr>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43" name="TextBox 42"/>
            <xdr:cNvSpPr txBox="1"/>
          </xdr:nvSpPr>
          <xdr:spPr>
            <a:xfrm>
              <a:off x="4333875" y="25255537"/>
              <a:ext cx="15004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endParaRPr lang="en-US" sz="1100"/>
            </a:p>
          </xdr:txBody>
        </xdr:sp>
      </mc:Fallback>
    </mc:AlternateContent>
    <xdr:clientData/>
  </xdr:oneCellAnchor>
  <xdr:oneCellAnchor>
    <xdr:from>
      <xdr:col>18</xdr:col>
      <xdr:colOff>133350</xdr:colOff>
      <xdr:row>136</xdr:row>
      <xdr:rowOff>119062</xdr:rowOff>
    </xdr:from>
    <xdr:ext cx="306687" cy="172227"/>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800-00002C000000}"/>
                </a:ext>
              </a:extLst>
            </xdr:cNvPr>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m:t>
                        </m:r>
                      </m:sub>
                    </m:sSub>
                    <m:r>
                      <a:rPr lang="en-US" sz="1100" b="0" i="1">
                        <a:latin typeface="Cambria Math" panose="02040503050406030204" pitchFamily="18" charset="0"/>
                      </a:rPr>
                      <m:t>=</m:t>
                    </m:r>
                  </m:oMath>
                </m:oMathPara>
              </a14:m>
              <a:endParaRPr lang="en-US" sz="1100"/>
            </a:p>
          </xdr:txBody>
        </xdr:sp>
      </mc:Choice>
      <mc:Fallback xmlns="">
        <xdr:sp macro="" textlink="">
          <xdr:nvSpPr>
            <xdr:cNvPr id="44" name="TextBox 43"/>
            <xdr:cNvSpPr txBox="1"/>
          </xdr:nvSpPr>
          <xdr:spPr>
            <a:xfrm>
              <a:off x="5924550" y="26027062"/>
              <a:ext cx="30668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a:t>
              </a:r>
              <a:endParaRPr lang="en-US" sz="1100"/>
            </a:p>
          </xdr:txBody>
        </xdr:sp>
      </mc:Fallback>
    </mc:AlternateContent>
    <xdr:clientData/>
  </xdr:oneCellAnchor>
  <xdr:oneCellAnchor>
    <xdr:from>
      <xdr:col>9</xdr:col>
      <xdr:colOff>114300</xdr:colOff>
      <xdr:row>149</xdr:row>
      <xdr:rowOff>119062</xdr:rowOff>
    </xdr:from>
    <xdr:ext cx="322332"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800-00002D000000}"/>
                </a:ext>
              </a:extLst>
            </xdr:cNvPr>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m:t>
                        </m:r>
                      </m:sub>
                    </m:sSub>
                    <m:r>
                      <a:rPr lang="en-US" sz="1100" b="0" i="1">
                        <a:latin typeface="Cambria Math" panose="02040503050406030204" pitchFamily="18" charset="0"/>
                      </a:rPr>
                      <m:t>=</m:t>
                    </m:r>
                  </m:oMath>
                </m:oMathPara>
              </a14:m>
              <a:endParaRPr lang="en-US" sz="1100"/>
            </a:p>
          </xdr:txBody>
        </xdr:sp>
      </mc:Choice>
      <mc:Fallback xmlns="">
        <xdr:sp macro="" textlink="">
          <xdr:nvSpPr>
            <xdr:cNvPr id="45" name="TextBox 44"/>
            <xdr:cNvSpPr txBox="1"/>
          </xdr:nvSpPr>
          <xdr:spPr>
            <a:xfrm>
              <a:off x="2771775" y="28503562"/>
              <a:ext cx="32233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a:t>
              </a:r>
              <a:endParaRPr lang="en-US" sz="1100"/>
            </a:p>
          </xdr:txBody>
        </xdr:sp>
      </mc:Fallback>
    </mc:AlternateContent>
    <xdr:clientData/>
  </xdr:oneCellAnchor>
  <xdr:oneCellAnchor>
    <xdr:from>
      <xdr:col>9</xdr:col>
      <xdr:colOff>28575</xdr:colOff>
      <xdr:row>151</xdr:row>
      <xdr:rowOff>42862</xdr:rowOff>
    </xdr:from>
    <xdr:ext cx="825547" cy="316882"/>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800-00002E000000}"/>
                </a:ext>
              </a:extLst>
            </xdr:cNvPr>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cosh</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r>
                      <a:rPr lang="en-US" sz="1100" b="0" i="1">
                        <a:latin typeface="Cambria Math" panose="02040503050406030204" pitchFamily="18" charset="0"/>
                      </a:rPr>
                      <m:t>)</m:t>
                    </m:r>
                  </m:oMath>
                </m:oMathPara>
              </a14:m>
              <a:endParaRPr lang="en-US" sz="1100"/>
            </a:p>
          </xdr:txBody>
        </xdr:sp>
      </mc:Choice>
      <mc:Fallback xmlns="">
        <xdr:sp macro="" textlink="">
          <xdr:nvSpPr>
            <xdr:cNvPr id="46" name="TextBox 45"/>
            <xdr:cNvSpPr txBox="1"/>
          </xdr:nvSpPr>
          <xdr:spPr>
            <a:xfrm>
              <a:off x="2686050" y="28808362"/>
              <a:ext cx="82554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cosh⁡((3.67 𝐻)/𝐷)</a:t>
              </a:r>
              <a:endParaRPr lang="en-US" sz="1100"/>
            </a:p>
          </xdr:txBody>
        </xdr:sp>
      </mc:Fallback>
    </mc:AlternateContent>
    <xdr:clientData/>
  </xdr:oneCellAnchor>
  <xdr:oneCellAnchor>
    <xdr:from>
      <xdr:col>12</xdr:col>
      <xdr:colOff>85725</xdr:colOff>
      <xdr:row>151</xdr:row>
      <xdr:rowOff>90487</xdr:rowOff>
    </xdr:from>
    <xdr:ext cx="623953" cy="239425"/>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800-00002F000000}"/>
                </a:ext>
              </a:extLst>
            </xdr:cNvPr>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14:m>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a14:m>
              <a:r>
                <a:rPr lang="en-US" sz="1100"/>
                <a:t>)</a:t>
              </a:r>
            </a:p>
          </xdr:txBody>
        </xdr:sp>
      </mc:Choice>
      <mc:Fallback xmlns="">
        <xdr:sp macro="" textlink="">
          <xdr:nvSpPr>
            <xdr:cNvPr id="47" name="TextBox 46"/>
            <xdr:cNvSpPr txBox="1"/>
          </xdr:nvSpPr>
          <xdr:spPr>
            <a:xfrm>
              <a:off x="3629025" y="28855987"/>
              <a:ext cx="623953" cy="23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a:t>sinh(</a:t>
              </a:r>
              <a:r>
                <a:rPr lang="en-US" sz="1100" i="0">
                  <a:latin typeface="Cambria Math" panose="02040503050406030204" pitchFamily="18" charset="0"/>
                </a:rPr>
                <a:t>(</a:t>
              </a:r>
              <a:r>
                <a:rPr lang="en-US" sz="1100" b="0" i="0">
                  <a:latin typeface="Cambria Math" panose="02040503050406030204" pitchFamily="18" charset="0"/>
                </a:rPr>
                <a:t>3.67 𝐻)/𝐷</a:t>
              </a:r>
              <a:r>
                <a:rPr lang="en-US" sz="1100"/>
                <a:t>)</a:t>
              </a:r>
            </a:p>
          </xdr:txBody>
        </xdr:sp>
      </mc:Fallback>
    </mc:AlternateContent>
    <xdr:clientData/>
  </xdr:oneCellAnchor>
  <xdr:oneCellAnchor>
    <xdr:from>
      <xdr:col>16</xdr:col>
      <xdr:colOff>9525</xdr:colOff>
      <xdr:row>151</xdr:row>
      <xdr:rowOff>42862</xdr:rowOff>
    </xdr:from>
    <xdr:ext cx="432939" cy="316882"/>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800-000030000000}"/>
                </a:ext>
              </a:extLst>
            </xdr:cNvPr>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a:rPr lang="en-US" sz="1100" b="0" i="1">
                            <a:latin typeface="Cambria Math" panose="02040503050406030204" pitchFamily="18" charset="0"/>
                          </a:rPr>
                          <m:t>3</m:t>
                        </m:r>
                        <m:r>
                          <a:rPr lang="en-US" sz="1100" b="0" i="1">
                            <a:latin typeface="Cambria Math" panose="02040503050406030204" pitchFamily="18" charset="0"/>
                          </a:rPr>
                          <m:t>.</m:t>
                        </m:r>
                        <m:r>
                          <a:rPr lang="en-US" sz="1100" b="0" i="1">
                            <a:latin typeface="Cambria Math" panose="02040503050406030204" pitchFamily="18" charset="0"/>
                          </a:rPr>
                          <m:t>67</m:t>
                        </m:r>
                        <m:r>
                          <a:rPr lang="en-US" sz="1100" b="0" i="1">
                            <a:latin typeface="Cambria Math" panose="02040503050406030204" pitchFamily="18" charset="0"/>
                          </a:rPr>
                          <m:t> </m:t>
                        </m:r>
                        <m:r>
                          <a:rPr lang="en-US" sz="1100" b="0" i="1">
                            <a:latin typeface="Cambria Math" panose="02040503050406030204" pitchFamily="18" charset="0"/>
                          </a:rPr>
                          <m:t>𝐻</m:t>
                        </m:r>
                      </m:num>
                      <m:den>
                        <m:r>
                          <a:rPr lang="en-US" sz="1100" b="0" i="1">
                            <a:latin typeface="Cambria Math" panose="02040503050406030204" pitchFamily="18" charset="0"/>
                          </a:rPr>
                          <m:t>𝐷</m:t>
                        </m:r>
                      </m:den>
                    </m:f>
                  </m:oMath>
                </m:oMathPara>
              </a14:m>
              <a:endParaRPr lang="en-US" sz="1100"/>
            </a:p>
          </xdr:txBody>
        </xdr:sp>
      </mc:Choice>
      <mc:Fallback xmlns="">
        <xdr:sp macro="" textlink="">
          <xdr:nvSpPr>
            <xdr:cNvPr id="48" name="TextBox 47"/>
            <xdr:cNvSpPr txBox="1"/>
          </xdr:nvSpPr>
          <xdr:spPr>
            <a:xfrm>
              <a:off x="4733925" y="28808362"/>
              <a:ext cx="432939"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t>
              </a:r>
              <a:r>
                <a:rPr lang="en-US" sz="1100" b="0" i="0">
                  <a:latin typeface="Cambria Math" panose="02040503050406030204" pitchFamily="18" charset="0"/>
                </a:rPr>
                <a:t>3.67 𝐻)/𝐷</a:t>
              </a:r>
              <a:endParaRPr lang="en-US" sz="1100"/>
            </a:p>
          </xdr:txBody>
        </xdr:sp>
      </mc:Fallback>
    </mc:AlternateContent>
    <xdr:clientData/>
  </xdr:oneCellAnchor>
  <xdr:oneCellAnchor>
    <xdr:from>
      <xdr:col>9</xdr:col>
      <xdr:colOff>180975</xdr:colOff>
      <xdr:row>157</xdr:row>
      <xdr:rowOff>119062</xdr:rowOff>
    </xdr:from>
    <xdr:ext cx="355097"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800-000031000000}"/>
                </a:ext>
              </a:extLst>
            </xdr:cNvPr>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𝑖𝑠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49" name="TextBox 48"/>
            <xdr:cNvSpPr txBox="1"/>
          </xdr:nvSpPr>
          <xdr:spPr>
            <a:xfrm>
              <a:off x="2838450" y="30027562"/>
              <a:ext cx="3550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𝑋_𝑖𝑠=</a:t>
              </a:r>
              <a:endParaRPr lang="en-US" sz="1100"/>
            </a:p>
          </xdr:txBody>
        </xdr:sp>
      </mc:Fallback>
    </mc:AlternateContent>
    <xdr:clientData/>
  </xdr:oneCellAnchor>
  <xdr:oneCellAnchor>
    <xdr:from>
      <xdr:col>9</xdr:col>
      <xdr:colOff>104775</xdr:colOff>
      <xdr:row>162</xdr:row>
      <xdr:rowOff>109537</xdr:rowOff>
    </xdr:from>
    <xdr:ext cx="370999" cy="172227"/>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800-000032000000}"/>
                </a:ext>
              </a:extLst>
            </xdr:cNvPr>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𝑋</m:t>
                        </m:r>
                      </m:e>
                      <m:sub>
                        <m:r>
                          <a:rPr lang="en-US" sz="1100" b="0" i="1">
                            <a:latin typeface="Cambria Math" panose="02040503050406030204" pitchFamily="18" charset="0"/>
                          </a:rPr>
                          <m:t>𝑐𝑠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50" name="TextBox 49"/>
            <xdr:cNvSpPr txBox="1"/>
          </xdr:nvSpPr>
          <xdr:spPr>
            <a:xfrm>
              <a:off x="2762250" y="30970537"/>
              <a:ext cx="37099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𝑋_𝑐𝑠=</a:t>
              </a:r>
              <a:endParaRPr lang="en-US" sz="1100"/>
            </a:p>
          </xdr:txBody>
        </xdr:sp>
      </mc:Fallback>
    </mc:AlternateContent>
    <xdr:clientData/>
  </xdr:oneCellAnchor>
  <xdr:oneCellAnchor>
    <xdr:from>
      <xdr:col>1</xdr:col>
      <xdr:colOff>85725</xdr:colOff>
      <xdr:row>181</xdr:row>
      <xdr:rowOff>71437</xdr:rowOff>
    </xdr:from>
    <xdr:ext cx="435440" cy="172227"/>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800-000033000000}"/>
                </a:ext>
              </a:extLst>
            </xdr:cNvPr>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𝑟𝑤</m:t>
                        </m:r>
                      </m:sub>
                    </m:sSub>
                    <m:r>
                      <a:rPr lang="en-US" sz="1100" b="0" i="1">
                        <a:latin typeface="Cambria Math" panose="02040503050406030204" pitchFamily="18" charset="0"/>
                      </a:rPr>
                      <m:t>=</m:t>
                    </m:r>
                  </m:oMath>
                </m:oMathPara>
              </a14:m>
              <a:endParaRPr lang="en-US" sz="1100"/>
            </a:p>
          </xdr:txBody>
        </xdr:sp>
      </mc:Choice>
      <mc:Fallback xmlns="">
        <xdr:sp macro="" textlink="">
          <xdr:nvSpPr>
            <xdr:cNvPr id="51" name="TextBox 50"/>
            <xdr:cNvSpPr txBox="1"/>
          </xdr:nvSpPr>
          <xdr:spPr>
            <a:xfrm>
              <a:off x="381000" y="34551937"/>
              <a:ext cx="435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𝑀_𝑟𝑤=</a:t>
              </a:r>
              <a:endParaRPr lang="en-US" sz="1100"/>
            </a:p>
          </xdr:txBody>
        </xdr:sp>
      </mc:Fallback>
    </mc:AlternateContent>
    <xdr:clientData/>
  </xdr:oneCellAnchor>
  <xdr:oneCellAnchor>
    <xdr:from>
      <xdr:col>1</xdr:col>
      <xdr:colOff>190500</xdr:colOff>
      <xdr:row>203</xdr:row>
      <xdr:rowOff>180975</xdr:rowOff>
    </xdr:from>
    <xdr:ext cx="261995" cy="215089"/>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𝑀</m:t>
                        </m:r>
                      </m:e>
                      <m:sub>
                        <m:r>
                          <a:rPr lang="en-US" sz="1100" b="0" i="1">
                            <a:latin typeface="Cambria Math" panose="02040503050406030204" pitchFamily="18" charset="0"/>
                          </a:rPr>
                          <m:t>𝑠</m:t>
                        </m:r>
                      </m:sub>
                    </m:sSub>
                    <m:r>
                      <a:rPr lang="en-US" sz="1100" b="0" i="1">
                        <a:latin typeface="Cambria Math" panose="02040503050406030204" pitchFamily="18" charset="0"/>
                      </a:rPr>
                      <m:t>=</m:t>
                    </m:r>
                  </m:oMath>
                </m:oMathPara>
              </a14:m>
              <a:endParaRPr lang="en-US" sz="1100"/>
            </a:p>
          </xdr:txBody>
        </xdr:sp>
      </mc:Choice>
      <mc:Fallback xmlns="">
        <xdr:sp macro="" textlink="">
          <xdr:nvSpPr>
            <xdr:cNvPr id="30" name="TextBox 29"/>
            <xdr:cNvSpPr txBox="1"/>
          </xdr:nvSpPr>
          <xdr:spPr>
            <a:xfrm>
              <a:off x="485775" y="38852475"/>
              <a:ext cx="261995" cy="215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100" b="0" i="0">
                  <a:latin typeface="Cambria Math" panose="02040503050406030204" pitchFamily="18" charset="0"/>
                </a:rPr>
                <a:t>𝑀_𝑠=</a:t>
              </a:r>
              <a:endParaRPr lang="en-US" sz="1100"/>
            </a:p>
          </xdr:txBody>
        </xdr:sp>
      </mc:Fallback>
    </mc:AlternateContent>
    <xdr:clientData/>
  </xdr:oneCellAnchor>
  <xdr:oneCellAnchor>
    <xdr:from>
      <xdr:col>14</xdr:col>
      <xdr:colOff>209550</xdr:colOff>
      <xdr:row>129</xdr:row>
      <xdr:rowOff>100012</xdr:rowOff>
    </xdr:from>
    <xdr:ext cx="207429" cy="182614"/>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m:t>
                        </m:r>
                      </m:e>
                      <m:sub>
                        <m:r>
                          <a:rPr lang="en-US" sz="1100" b="0" i="1">
                            <a:latin typeface="Cambria Math" panose="02040503050406030204" pitchFamily="18" charset="0"/>
                          </a:rPr>
                          <m:t>𝑝</m:t>
                        </m:r>
                      </m:sub>
                    </m:sSub>
                  </m:oMath>
                </m:oMathPara>
              </a14:m>
              <a:endParaRPr lang="en-US" sz="1100"/>
            </a:p>
          </xdr:txBody>
        </xdr:sp>
      </mc:Choice>
      <mc:Fallback xmlns="">
        <xdr:sp macro="" textlink="">
          <xdr:nvSpPr>
            <xdr:cNvPr id="52" name="TextBox 51"/>
            <xdr:cNvSpPr txBox="1"/>
          </xdr:nvSpPr>
          <xdr:spPr>
            <a:xfrm>
              <a:off x="4343400" y="24674512"/>
              <a:ext cx="207429"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𝑊_𝑝</a:t>
              </a:r>
              <a:endParaRPr 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ARYA-PC\Desktop\TK3502A-B\LRP-APG-17-ME-CAL-0002-A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esktop\Arya\Step2\STEP2\0002-02\LRP-APG-17-ME-CAL-0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amp; Vent"/>
      <sheetName val="Summary"/>
      <sheetName val="Anchorage ratio (J)"/>
    </sheetNames>
    <sheetDataSet>
      <sheetData sheetId="0" refreshError="1">
        <row r="201">
          <cell r="G201" t="str">
            <v>Material</v>
          </cell>
        </row>
      </sheetData>
      <sheetData sheetId="1" refreshError="1"/>
      <sheetData sheetId="2" refreshError="1">
        <row r="14">
          <cell r="J14" t="str">
            <v>Outside Diameter of Bottom plate: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ell Plate Design "/>
      <sheetName val="Bottom &amp; Annular plate design"/>
      <sheetName val="Roof design"/>
      <sheetName val="roof design(2)"/>
      <sheetName val="Top Angle"/>
      <sheetName val="Top Angle &amp; Intermediate wind g"/>
      <sheetName val="Wind overturning stability"/>
      <sheetName val="Seismic design"/>
      <sheetName val="Seismic design2007"/>
      <sheetName val="Anchor Bolt"/>
      <sheetName val="Anchorage ratio (J)"/>
    </sheetNames>
    <sheetDataSet>
      <sheetData sheetId="0" refreshError="1"/>
      <sheetData sheetId="1" refreshError="1">
        <row r="38">
          <cell r="B38" t="str">
            <v>Course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sheetPr>
  <dimension ref="A1:AD235"/>
  <sheetViews>
    <sheetView tabSelected="1" view="pageBreakPreview" topLeftCell="A19" zoomScaleNormal="100" zoomScaleSheetLayoutView="100" workbookViewId="0">
      <selection activeCell="C27" sqref="C27:E27"/>
    </sheetView>
  </sheetViews>
  <sheetFormatPr defaultRowHeight="14.25"/>
  <cols>
    <col min="1" max="19" width="5.75" customWidth="1"/>
    <col min="20" max="20" width="5.75" style="21" customWidth="1"/>
    <col min="21"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ht="15" customHeight="1">
      <c r="A2" s="232"/>
      <c r="B2" s="233"/>
      <c r="C2" s="233"/>
      <c r="D2" s="233"/>
      <c r="E2" s="234"/>
      <c r="F2" s="161"/>
      <c r="G2" s="162"/>
      <c r="H2" s="162"/>
      <c r="I2" s="162"/>
      <c r="J2" s="162"/>
      <c r="K2" s="162"/>
      <c r="L2" s="162"/>
      <c r="M2" s="162"/>
      <c r="N2" s="162"/>
      <c r="O2" s="162"/>
      <c r="P2" s="162"/>
      <c r="Q2" s="163"/>
      <c r="R2" s="177"/>
      <c r="S2" s="177"/>
      <c r="T2" s="177"/>
      <c r="U2" s="177"/>
      <c r="V2" s="240"/>
    </row>
    <row r="3" spans="1:22" ht="15" customHeight="1">
      <c r="A3" s="232"/>
      <c r="B3" s="233"/>
      <c r="C3" s="233"/>
      <c r="D3" s="233"/>
      <c r="E3" s="234"/>
      <c r="F3" s="161"/>
      <c r="G3" s="162"/>
      <c r="H3" s="162"/>
      <c r="I3" s="162"/>
      <c r="J3" s="162"/>
      <c r="K3" s="162"/>
      <c r="L3" s="162"/>
      <c r="M3" s="162"/>
      <c r="N3" s="162"/>
      <c r="O3" s="162"/>
      <c r="P3" s="162"/>
      <c r="Q3" s="163"/>
      <c r="R3" s="177"/>
      <c r="S3" s="177"/>
      <c r="T3" s="177"/>
      <c r="U3" s="177"/>
      <c r="V3" s="240"/>
    </row>
    <row r="4" spans="1:22" ht="15" customHeight="1">
      <c r="A4" s="232"/>
      <c r="B4" s="233"/>
      <c r="C4" s="233"/>
      <c r="D4" s="233"/>
      <c r="E4" s="234"/>
      <c r="F4" s="161"/>
      <c r="G4" s="162"/>
      <c r="H4" s="162"/>
      <c r="I4" s="162"/>
      <c r="J4" s="162"/>
      <c r="K4" s="162"/>
      <c r="L4" s="162"/>
      <c r="M4" s="162"/>
      <c r="N4" s="162"/>
      <c r="O4" s="162"/>
      <c r="P4" s="162"/>
      <c r="Q4" s="163"/>
      <c r="R4" s="177"/>
      <c r="S4" s="177"/>
      <c r="T4" s="177"/>
      <c r="U4" s="177"/>
      <c r="V4" s="240"/>
    </row>
    <row r="5" spans="1:22" ht="14.45" customHeight="1">
      <c r="A5" s="232"/>
      <c r="B5" s="233"/>
      <c r="C5" s="233"/>
      <c r="D5" s="233"/>
      <c r="E5" s="234"/>
      <c r="F5" s="164"/>
      <c r="G5" s="165"/>
      <c r="H5" s="165"/>
      <c r="I5" s="165"/>
      <c r="J5" s="165"/>
      <c r="K5" s="165"/>
      <c r="L5" s="165"/>
      <c r="M5" s="165"/>
      <c r="N5" s="165"/>
      <c r="O5" s="165"/>
      <c r="P5" s="165"/>
      <c r="Q5" s="166"/>
      <c r="R5" s="177"/>
      <c r="S5" s="177"/>
      <c r="T5" s="177"/>
      <c r="U5" s="177"/>
      <c r="V5" s="240"/>
    </row>
    <row r="6" spans="1:22" ht="25.9"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19.149999999999999"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v>29</v>
      </c>
      <c r="S7" s="174" t="s">
        <v>752</v>
      </c>
      <c r="T7" s="263">
        <v>1</v>
      </c>
      <c r="U7" s="168" t="s">
        <v>753</v>
      </c>
      <c r="V7" s="188"/>
    </row>
    <row r="8" spans="1:22" ht="24"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
        <v>860</v>
      </c>
      <c r="R8" s="173"/>
      <c r="S8" s="175"/>
      <c r="T8" s="264"/>
      <c r="U8" s="189"/>
      <c r="V8" s="190"/>
    </row>
    <row r="9" spans="1:22" ht="23.1" customHeight="1">
      <c r="A9" s="277" t="s">
        <v>759</v>
      </c>
      <c r="B9" s="278"/>
      <c r="C9" s="278"/>
      <c r="D9" s="278"/>
      <c r="E9" s="278"/>
      <c r="F9" s="278"/>
      <c r="G9" s="278"/>
      <c r="H9" s="278"/>
      <c r="I9" s="278"/>
      <c r="J9" s="278"/>
      <c r="K9" s="278"/>
      <c r="L9" s="278"/>
      <c r="M9" s="278"/>
      <c r="N9" s="278"/>
      <c r="O9" s="278"/>
      <c r="P9" s="278"/>
      <c r="Q9" s="278"/>
      <c r="R9" s="278"/>
      <c r="S9" s="278"/>
      <c r="T9" s="278"/>
      <c r="U9" s="278"/>
      <c r="V9" s="279"/>
    </row>
    <row r="10" spans="1:22" ht="23.1" customHeight="1">
      <c r="A10" s="280"/>
      <c r="B10" s="281"/>
      <c r="C10" s="281"/>
      <c r="D10" s="281"/>
      <c r="E10" s="281"/>
      <c r="F10" s="281"/>
      <c r="G10" s="281"/>
      <c r="H10" s="281"/>
      <c r="I10" s="281"/>
      <c r="J10" s="281"/>
      <c r="K10" s="281"/>
      <c r="L10" s="281"/>
      <c r="M10" s="281"/>
      <c r="N10" s="281"/>
      <c r="O10" s="281"/>
      <c r="P10" s="281"/>
      <c r="Q10" s="281"/>
      <c r="R10" s="281"/>
      <c r="S10" s="281"/>
      <c r="T10" s="281"/>
      <c r="U10" s="281"/>
      <c r="V10" s="282"/>
    </row>
    <row r="11" spans="1:22" ht="23.1" customHeight="1">
      <c r="A11" s="280"/>
      <c r="B11" s="281"/>
      <c r="C11" s="281"/>
      <c r="D11" s="281"/>
      <c r="E11" s="281"/>
      <c r="F11" s="281"/>
      <c r="G11" s="281"/>
      <c r="H11" s="281"/>
      <c r="I11" s="281"/>
      <c r="J11" s="281"/>
      <c r="K11" s="281"/>
      <c r="L11" s="281"/>
      <c r="M11" s="281"/>
      <c r="N11" s="281"/>
      <c r="O11" s="281"/>
      <c r="P11" s="281"/>
      <c r="Q11" s="281"/>
      <c r="R11" s="281"/>
      <c r="S11" s="281"/>
      <c r="T11" s="281"/>
      <c r="U11" s="281"/>
      <c r="V11" s="282"/>
    </row>
    <row r="12" spans="1:22" ht="23.1" customHeight="1">
      <c r="A12" s="280"/>
      <c r="B12" s="281"/>
      <c r="C12" s="281"/>
      <c r="D12" s="281"/>
      <c r="E12" s="281"/>
      <c r="F12" s="281"/>
      <c r="G12" s="281"/>
      <c r="H12" s="281"/>
      <c r="I12" s="281"/>
      <c r="J12" s="281"/>
      <c r="K12" s="281"/>
      <c r="L12" s="281"/>
      <c r="M12" s="281"/>
      <c r="N12" s="281"/>
      <c r="O12" s="281"/>
      <c r="P12" s="281"/>
      <c r="Q12" s="281"/>
      <c r="R12" s="281"/>
      <c r="S12" s="281"/>
      <c r="T12" s="281"/>
      <c r="U12" s="281"/>
      <c r="V12" s="282"/>
    </row>
    <row r="13" spans="1:22" ht="23.1" customHeight="1">
      <c r="A13" s="280"/>
      <c r="B13" s="281"/>
      <c r="C13" s="281"/>
      <c r="D13" s="281"/>
      <c r="E13" s="281"/>
      <c r="F13" s="281"/>
      <c r="G13" s="281"/>
      <c r="H13" s="281"/>
      <c r="I13" s="281"/>
      <c r="J13" s="281"/>
      <c r="K13" s="281"/>
      <c r="L13" s="281"/>
      <c r="M13" s="281"/>
      <c r="N13" s="281"/>
      <c r="O13" s="281"/>
      <c r="P13" s="281"/>
      <c r="Q13" s="281"/>
      <c r="R13" s="281"/>
      <c r="S13" s="281"/>
      <c r="T13" s="281"/>
      <c r="U13" s="281"/>
      <c r="V13" s="282"/>
    </row>
    <row r="14" spans="1:22" ht="23.1" customHeight="1">
      <c r="A14" s="280"/>
      <c r="B14" s="281"/>
      <c r="C14" s="281"/>
      <c r="D14" s="281"/>
      <c r="E14" s="281"/>
      <c r="F14" s="281"/>
      <c r="G14" s="281"/>
      <c r="H14" s="281"/>
      <c r="I14" s="281"/>
      <c r="J14" s="281"/>
      <c r="K14" s="281"/>
      <c r="L14" s="281"/>
      <c r="M14" s="281"/>
      <c r="N14" s="281"/>
      <c r="O14" s="281"/>
      <c r="P14" s="281"/>
      <c r="Q14" s="281"/>
      <c r="R14" s="281"/>
      <c r="S14" s="281"/>
      <c r="T14" s="281"/>
      <c r="U14" s="281"/>
      <c r="V14" s="282"/>
    </row>
    <row r="15" spans="1:22" ht="23.1" customHeight="1">
      <c r="A15" s="280"/>
      <c r="B15" s="281"/>
      <c r="C15" s="281"/>
      <c r="D15" s="281"/>
      <c r="E15" s="281"/>
      <c r="F15" s="281"/>
      <c r="G15" s="281"/>
      <c r="H15" s="281"/>
      <c r="I15" s="281"/>
      <c r="J15" s="281"/>
      <c r="K15" s="281"/>
      <c r="L15" s="281"/>
      <c r="M15" s="281"/>
      <c r="N15" s="281"/>
      <c r="O15" s="281"/>
      <c r="P15" s="281"/>
      <c r="Q15" s="281"/>
      <c r="R15" s="281"/>
      <c r="S15" s="281"/>
      <c r="T15" s="281"/>
      <c r="U15" s="281"/>
      <c r="V15" s="282"/>
    </row>
    <row r="16" spans="1:22" ht="23.1" customHeight="1">
      <c r="A16" s="220" t="s">
        <v>900</v>
      </c>
      <c r="B16" s="221"/>
      <c r="C16" s="221"/>
      <c r="D16" s="221"/>
      <c r="E16" s="221"/>
      <c r="F16" s="221"/>
      <c r="G16" s="221"/>
      <c r="H16" s="221"/>
      <c r="I16" s="221"/>
      <c r="J16" s="221"/>
      <c r="K16" s="221"/>
      <c r="L16" s="221"/>
      <c r="M16" s="221"/>
      <c r="N16" s="221"/>
      <c r="O16" s="221"/>
      <c r="P16" s="221"/>
      <c r="Q16" s="221"/>
      <c r="R16" s="221"/>
      <c r="S16" s="221"/>
      <c r="T16" s="221"/>
      <c r="U16" s="221"/>
      <c r="V16" s="222"/>
    </row>
    <row r="17" spans="1:22" ht="23.1" customHeight="1">
      <c r="A17" s="223"/>
      <c r="B17" s="224"/>
      <c r="C17" s="224"/>
      <c r="D17" s="224"/>
      <c r="E17" s="224"/>
      <c r="F17" s="224"/>
      <c r="G17" s="224"/>
      <c r="H17" s="224"/>
      <c r="I17" s="224"/>
      <c r="J17" s="224"/>
      <c r="K17" s="224"/>
      <c r="L17" s="224"/>
      <c r="M17" s="224"/>
      <c r="N17" s="224"/>
      <c r="O17" s="224"/>
      <c r="P17" s="224"/>
      <c r="Q17" s="224"/>
      <c r="R17" s="224"/>
      <c r="S17" s="224"/>
      <c r="T17" s="224"/>
      <c r="U17" s="224"/>
      <c r="V17" s="225"/>
    </row>
    <row r="18" spans="1:22" ht="23.1" customHeight="1">
      <c r="A18" s="223"/>
      <c r="B18" s="224"/>
      <c r="C18" s="224"/>
      <c r="D18" s="224"/>
      <c r="E18" s="224"/>
      <c r="F18" s="224"/>
      <c r="G18" s="224"/>
      <c r="H18" s="224"/>
      <c r="I18" s="224"/>
      <c r="J18" s="224"/>
      <c r="K18" s="224"/>
      <c r="L18" s="224"/>
      <c r="M18" s="224"/>
      <c r="N18" s="224"/>
      <c r="O18" s="224"/>
      <c r="P18" s="224"/>
      <c r="Q18" s="224"/>
      <c r="R18" s="224"/>
      <c r="S18" s="224"/>
      <c r="T18" s="224"/>
      <c r="U18" s="224"/>
      <c r="V18" s="225"/>
    </row>
    <row r="19" spans="1:22" ht="23.1" customHeight="1">
      <c r="A19" s="223"/>
      <c r="B19" s="224"/>
      <c r="C19" s="224"/>
      <c r="D19" s="224"/>
      <c r="E19" s="224"/>
      <c r="F19" s="224"/>
      <c r="G19" s="224"/>
      <c r="H19" s="224"/>
      <c r="I19" s="224"/>
      <c r="J19" s="224"/>
      <c r="K19" s="224"/>
      <c r="L19" s="224"/>
      <c r="M19" s="224"/>
      <c r="N19" s="224"/>
      <c r="O19" s="224"/>
      <c r="P19" s="224"/>
      <c r="Q19" s="224"/>
      <c r="R19" s="224"/>
      <c r="S19" s="224"/>
      <c r="T19" s="224"/>
      <c r="U19" s="224"/>
      <c r="V19" s="225"/>
    </row>
    <row r="20" spans="1:22" ht="23.1" customHeight="1">
      <c r="A20" s="223"/>
      <c r="B20" s="224"/>
      <c r="C20" s="224"/>
      <c r="D20" s="224"/>
      <c r="E20" s="224"/>
      <c r="F20" s="224"/>
      <c r="G20" s="224"/>
      <c r="H20" s="224"/>
      <c r="I20" s="224"/>
      <c r="J20" s="224"/>
      <c r="K20" s="224"/>
      <c r="L20" s="224"/>
      <c r="M20" s="224"/>
      <c r="N20" s="224"/>
      <c r="O20" s="224"/>
      <c r="P20" s="224"/>
      <c r="Q20" s="224"/>
      <c r="R20" s="224"/>
      <c r="S20" s="224"/>
      <c r="T20" s="224"/>
      <c r="U20" s="224"/>
      <c r="V20" s="225"/>
    </row>
    <row r="21" spans="1:22" ht="23.1" customHeight="1">
      <c r="A21" s="223"/>
      <c r="B21" s="224"/>
      <c r="C21" s="224"/>
      <c r="D21" s="224"/>
      <c r="E21" s="224"/>
      <c r="F21" s="224"/>
      <c r="G21" s="224"/>
      <c r="H21" s="224"/>
      <c r="I21" s="224"/>
      <c r="J21" s="224"/>
      <c r="K21" s="224"/>
      <c r="L21" s="224"/>
      <c r="M21" s="224"/>
      <c r="N21" s="224"/>
      <c r="O21" s="224"/>
      <c r="P21" s="224"/>
      <c r="Q21" s="224"/>
      <c r="R21" s="224"/>
      <c r="S21" s="224"/>
      <c r="T21" s="224"/>
      <c r="U21" s="224"/>
      <c r="V21" s="225"/>
    </row>
    <row r="22" spans="1:22" ht="23.1" customHeight="1">
      <c r="A22" s="223"/>
      <c r="B22" s="224"/>
      <c r="C22" s="224"/>
      <c r="D22" s="224"/>
      <c r="E22" s="224"/>
      <c r="F22" s="224"/>
      <c r="G22" s="224"/>
      <c r="H22" s="224"/>
      <c r="I22" s="224"/>
      <c r="J22" s="224"/>
      <c r="K22" s="224"/>
      <c r="L22" s="224"/>
      <c r="M22" s="224"/>
      <c r="N22" s="224"/>
      <c r="O22" s="224"/>
      <c r="P22" s="224"/>
      <c r="Q22" s="224"/>
      <c r="R22" s="224"/>
      <c r="S22" s="224"/>
      <c r="T22" s="224"/>
      <c r="U22" s="224"/>
      <c r="V22" s="225"/>
    </row>
    <row r="23" spans="1:22" ht="23.1" customHeight="1">
      <c r="A23" s="226"/>
      <c r="B23" s="227"/>
      <c r="C23" s="227"/>
      <c r="D23" s="227"/>
      <c r="E23" s="227"/>
      <c r="F23" s="227"/>
      <c r="G23" s="227"/>
      <c r="H23" s="227"/>
      <c r="I23" s="227"/>
      <c r="J23" s="227"/>
      <c r="K23" s="227"/>
      <c r="L23" s="227"/>
      <c r="M23" s="227"/>
      <c r="N23" s="227"/>
      <c r="O23" s="227"/>
      <c r="P23" s="227"/>
      <c r="Q23" s="227"/>
      <c r="R23" s="227"/>
      <c r="S23" s="227"/>
      <c r="T23" s="227"/>
      <c r="U23" s="227"/>
      <c r="V23" s="228"/>
    </row>
    <row r="24" spans="1:22" ht="23.1" customHeight="1">
      <c r="A24" s="217"/>
      <c r="B24" s="218"/>
      <c r="C24" s="218"/>
      <c r="D24" s="218"/>
      <c r="E24" s="218"/>
      <c r="F24" s="218"/>
      <c r="G24" s="218"/>
      <c r="H24" s="218"/>
      <c r="I24" s="218"/>
      <c r="J24" s="218"/>
      <c r="K24" s="218"/>
      <c r="L24" s="218"/>
      <c r="M24" s="218"/>
      <c r="N24" s="218"/>
      <c r="O24" s="218"/>
      <c r="P24" s="218"/>
      <c r="Q24" s="219"/>
      <c r="R24" s="219"/>
      <c r="S24" s="219"/>
      <c r="T24" s="209"/>
      <c r="U24" s="209"/>
      <c r="V24" s="215"/>
    </row>
    <row r="25" spans="1:22" ht="23.1" customHeight="1">
      <c r="A25" s="217"/>
      <c r="B25" s="218"/>
      <c r="C25" s="218"/>
      <c r="D25" s="218"/>
      <c r="E25" s="218"/>
      <c r="F25" s="218"/>
      <c r="G25" s="218"/>
      <c r="H25" s="218"/>
      <c r="I25" s="218"/>
      <c r="J25" s="218"/>
      <c r="K25" s="218"/>
      <c r="L25" s="218"/>
      <c r="M25" s="218"/>
      <c r="N25" s="218"/>
      <c r="O25" s="218"/>
      <c r="P25" s="218"/>
      <c r="Q25" s="219"/>
      <c r="R25" s="219"/>
      <c r="S25" s="219"/>
      <c r="T25" s="209"/>
      <c r="U25" s="209"/>
      <c r="V25" s="215"/>
    </row>
    <row r="26" spans="1:22" ht="23.1" customHeight="1">
      <c r="A26" s="217"/>
      <c r="B26" s="218"/>
      <c r="C26" s="218"/>
      <c r="D26" s="218"/>
      <c r="E26" s="218"/>
      <c r="F26" s="218"/>
      <c r="G26" s="218"/>
      <c r="H26" s="218"/>
      <c r="I26" s="218"/>
      <c r="J26" s="218"/>
      <c r="K26" s="218"/>
      <c r="L26" s="218"/>
      <c r="M26" s="218"/>
      <c r="N26" s="218"/>
      <c r="O26" s="218"/>
      <c r="P26" s="218"/>
      <c r="Q26" s="219"/>
      <c r="R26" s="219"/>
      <c r="S26" s="219"/>
      <c r="T26" s="209"/>
      <c r="U26" s="209"/>
      <c r="V26" s="215"/>
    </row>
    <row r="27" spans="1:22" ht="23.1" customHeight="1">
      <c r="A27" s="217"/>
      <c r="B27" s="218"/>
      <c r="C27" s="218"/>
      <c r="D27" s="218"/>
      <c r="E27" s="218"/>
      <c r="F27" s="218"/>
      <c r="G27" s="218"/>
      <c r="H27" s="218"/>
      <c r="I27" s="218"/>
      <c r="J27" s="218"/>
      <c r="K27" s="218"/>
      <c r="L27" s="218"/>
      <c r="M27" s="218"/>
      <c r="N27" s="218"/>
      <c r="O27" s="218"/>
      <c r="P27" s="218"/>
      <c r="Q27" s="219"/>
      <c r="R27" s="219"/>
      <c r="S27" s="219"/>
      <c r="T27" s="209"/>
      <c r="U27" s="209"/>
      <c r="V27" s="215"/>
    </row>
    <row r="28" spans="1:22" ht="23.1" customHeight="1">
      <c r="A28" s="212" t="s">
        <v>860</v>
      </c>
      <c r="B28" s="213"/>
      <c r="C28" s="214" t="s">
        <v>903</v>
      </c>
      <c r="D28" s="213"/>
      <c r="E28" s="213"/>
      <c r="F28" s="213" t="s">
        <v>880</v>
      </c>
      <c r="G28" s="213"/>
      <c r="H28" s="213"/>
      <c r="I28" s="213"/>
      <c r="J28" s="213"/>
      <c r="K28" s="213" t="s">
        <v>760</v>
      </c>
      <c r="L28" s="213"/>
      <c r="M28" s="213"/>
      <c r="N28" s="213" t="s">
        <v>761</v>
      </c>
      <c r="O28" s="213"/>
      <c r="P28" s="213"/>
      <c r="Q28" s="213" t="s">
        <v>762</v>
      </c>
      <c r="R28" s="213"/>
      <c r="S28" s="213"/>
      <c r="T28" s="209"/>
      <c r="U28" s="209"/>
      <c r="V28" s="215"/>
    </row>
    <row r="29" spans="1:22" ht="23.1" customHeight="1">
      <c r="A29" s="212" t="s">
        <v>758</v>
      </c>
      <c r="B29" s="213"/>
      <c r="C29" s="214" t="s">
        <v>887</v>
      </c>
      <c r="D29" s="213"/>
      <c r="E29" s="213"/>
      <c r="F29" s="213" t="s">
        <v>880</v>
      </c>
      <c r="G29" s="213"/>
      <c r="H29" s="213"/>
      <c r="I29" s="213"/>
      <c r="J29" s="213"/>
      <c r="K29" s="213" t="s">
        <v>760</v>
      </c>
      <c r="L29" s="213"/>
      <c r="M29" s="213"/>
      <c r="N29" s="213" t="s">
        <v>761</v>
      </c>
      <c r="O29" s="213"/>
      <c r="P29" s="213"/>
      <c r="Q29" s="213" t="s">
        <v>762</v>
      </c>
      <c r="R29" s="213"/>
      <c r="S29" s="213"/>
      <c r="T29" s="213"/>
      <c r="U29" s="213"/>
      <c r="V29" s="216"/>
    </row>
    <row r="30" spans="1:22" ht="23.1" customHeight="1">
      <c r="A30" s="204" t="s">
        <v>763</v>
      </c>
      <c r="B30" s="205"/>
      <c r="C30" s="205" t="s">
        <v>764</v>
      </c>
      <c r="D30" s="205"/>
      <c r="E30" s="205"/>
      <c r="F30" s="205" t="s">
        <v>765</v>
      </c>
      <c r="G30" s="205"/>
      <c r="H30" s="205"/>
      <c r="I30" s="205"/>
      <c r="J30" s="205"/>
      <c r="K30" s="205" t="s">
        <v>766</v>
      </c>
      <c r="L30" s="205"/>
      <c r="M30" s="205"/>
      <c r="N30" s="205" t="s">
        <v>767</v>
      </c>
      <c r="O30" s="205"/>
      <c r="P30" s="205"/>
      <c r="Q30" s="205" t="s">
        <v>768</v>
      </c>
      <c r="R30" s="205"/>
      <c r="S30" s="205"/>
      <c r="T30" s="206" t="s">
        <v>769</v>
      </c>
      <c r="U30" s="206"/>
      <c r="V30" s="207"/>
    </row>
    <row r="31" spans="1:22" ht="23.1" customHeight="1">
      <c r="A31" s="208"/>
      <c r="B31" s="209"/>
      <c r="C31" s="209"/>
      <c r="D31" s="209"/>
      <c r="E31" s="209"/>
      <c r="F31" s="210" t="s">
        <v>770</v>
      </c>
      <c r="G31" s="210"/>
      <c r="H31" s="210"/>
      <c r="I31" s="210"/>
      <c r="J31" s="210"/>
      <c r="K31" s="210"/>
      <c r="L31" s="210"/>
      <c r="M31" s="210"/>
      <c r="N31" s="210"/>
      <c r="O31" s="210"/>
      <c r="P31" s="210"/>
      <c r="Q31" s="210"/>
      <c r="R31" s="210"/>
      <c r="S31" s="210"/>
      <c r="T31" s="210"/>
      <c r="U31" s="210"/>
      <c r="V31" s="211"/>
    </row>
    <row r="32" spans="1:22" ht="23.1" customHeight="1">
      <c r="A32" s="195" t="s">
        <v>771</v>
      </c>
      <c r="B32" s="196"/>
      <c r="C32" s="196"/>
      <c r="D32" s="196"/>
      <c r="E32" s="196"/>
      <c r="F32" s="196"/>
      <c r="G32" s="196"/>
      <c r="H32" s="196"/>
      <c r="I32" s="196"/>
      <c r="J32" s="196"/>
      <c r="K32" s="196"/>
      <c r="L32" s="196"/>
      <c r="M32" s="196"/>
      <c r="N32" s="196"/>
      <c r="O32" s="196"/>
      <c r="P32" s="196"/>
      <c r="Q32" s="196"/>
      <c r="R32" s="196"/>
      <c r="S32" s="196"/>
      <c r="T32" s="196"/>
      <c r="U32" s="196"/>
      <c r="V32" s="197"/>
    </row>
    <row r="33" spans="1:22" ht="23.1" customHeight="1">
      <c r="A33" s="198"/>
      <c r="B33" s="199"/>
      <c r="C33" s="199"/>
      <c r="D33" s="199"/>
      <c r="E33" s="199"/>
      <c r="F33" s="199"/>
      <c r="G33" s="199"/>
      <c r="H33" s="199"/>
      <c r="I33" s="199"/>
      <c r="J33" s="199"/>
      <c r="K33" s="199"/>
      <c r="L33" s="199"/>
      <c r="M33" s="199"/>
      <c r="N33" s="199"/>
      <c r="O33" s="199"/>
      <c r="P33" s="199"/>
      <c r="Q33" s="199"/>
      <c r="R33" s="199"/>
      <c r="S33" s="199"/>
      <c r="T33" s="199"/>
      <c r="U33" s="199"/>
      <c r="V33" s="200"/>
    </row>
    <row r="34" spans="1:22" ht="23.1" customHeight="1">
      <c r="A34" s="198"/>
      <c r="B34" s="199"/>
      <c r="C34" s="199"/>
      <c r="D34" s="199"/>
      <c r="E34" s="199"/>
      <c r="F34" s="199"/>
      <c r="G34" s="199"/>
      <c r="H34" s="199"/>
      <c r="I34" s="199"/>
      <c r="J34" s="199"/>
      <c r="K34" s="199"/>
      <c r="L34" s="199"/>
      <c r="M34" s="199"/>
      <c r="N34" s="199"/>
      <c r="O34" s="199"/>
      <c r="P34" s="199"/>
      <c r="Q34" s="199"/>
      <c r="R34" s="199"/>
      <c r="S34" s="199"/>
      <c r="T34" s="199"/>
      <c r="U34" s="199"/>
      <c r="V34" s="200"/>
    </row>
    <row r="35" spans="1:22" ht="23.1" customHeight="1">
      <c r="A35" s="195" t="s">
        <v>902</v>
      </c>
      <c r="B35" s="196"/>
      <c r="C35" s="196"/>
      <c r="D35" s="196"/>
      <c r="E35" s="196"/>
      <c r="F35" s="196"/>
      <c r="G35" s="196"/>
      <c r="H35" s="196"/>
      <c r="I35" s="196"/>
      <c r="J35" s="196"/>
      <c r="K35" s="196"/>
      <c r="L35" s="196"/>
      <c r="M35" s="196"/>
      <c r="N35" s="196"/>
      <c r="O35" s="196"/>
      <c r="P35" s="196"/>
      <c r="Q35" s="196"/>
      <c r="R35" s="196"/>
      <c r="S35" s="196"/>
      <c r="T35" s="196"/>
      <c r="U35" s="196"/>
      <c r="V35" s="197"/>
    </row>
    <row r="36" spans="1:22" ht="23.1" customHeight="1">
      <c r="A36" s="198"/>
      <c r="B36" s="199"/>
      <c r="C36" s="199"/>
      <c r="D36" s="199"/>
      <c r="E36" s="199"/>
      <c r="F36" s="199"/>
      <c r="G36" s="199"/>
      <c r="H36" s="199"/>
      <c r="I36" s="199"/>
      <c r="J36" s="199"/>
      <c r="K36" s="199"/>
      <c r="L36" s="199"/>
      <c r="M36" s="199"/>
      <c r="N36" s="199"/>
      <c r="O36" s="199"/>
      <c r="P36" s="199"/>
      <c r="Q36" s="199"/>
      <c r="R36" s="199"/>
      <c r="S36" s="199"/>
      <c r="T36" s="199"/>
      <c r="U36" s="199"/>
      <c r="V36" s="200"/>
    </row>
    <row r="37" spans="1:22" ht="23.1" customHeight="1" thickBot="1">
      <c r="A37" s="201"/>
      <c r="B37" s="202"/>
      <c r="C37" s="202"/>
      <c r="D37" s="202"/>
      <c r="E37" s="202"/>
      <c r="F37" s="202"/>
      <c r="G37" s="202"/>
      <c r="H37" s="202"/>
      <c r="I37" s="202"/>
      <c r="J37" s="202"/>
      <c r="K37" s="202"/>
      <c r="L37" s="202"/>
      <c r="M37" s="202"/>
      <c r="N37" s="202"/>
      <c r="O37" s="202"/>
      <c r="P37" s="202"/>
      <c r="Q37" s="202"/>
      <c r="R37" s="202"/>
      <c r="S37" s="202"/>
      <c r="T37" s="202"/>
      <c r="U37" s="202"/>
      <c r="V37" s="203"/>
    </row>
    <row r="38" spans="1:22" ht="15" customHeight="1">
      <c r="A38" s="229"/>
      <c r="B38" s="230"/>
      <c r="C38" s="230"/>
      <c r="D38" s="230"/>
      <c r="E38" s="231"/>
      <c r="F38" s="158" t="s">
        <v>886</v>
      </c>
      <c r="G38" s="159"/>
      <c r="H38" s="159"/>
      <c r="I38" s="159"/>
      <c r="J38" s="159"/>
      <c r="K38" s="159"/>
      <c r="L38" s="159"/>
      <c r="M38" s="159"/>
      <c r="N38" s="159"/>
      <c r="O38" s="159"/>
      <c r="P38" s="159"/>
      <c r="Q38" s="160"/>
      <c r="R38" s="238"/>
      <c r="S38" s="238"/>
      <c r="T38" s="238"/>
      <c r="U38" s="238"/>
      <c r="V38" s="239"/>
    </row>
    <row r="39" spans="1:22">
      <c r="A39" s="232"/>
      <c r="B39" s="233"/>
      <c r="C39" s="233"/>
      <c r="D39" s="233"/>
      <c r="E39" s="234"/>
      <c r="F39" s="161"/>
      <c r="G39" s="162"/>
      <c r="H39" s="162"/>
      <c r="I39" s="162"/>
      <c r="J39" s="162"/>
      <c r="K39" s="162"/>
      <c r="L39" s="162"/>
      <c r="M39" s="162"/>
      <c r="N39" s="162"/>
      <c r="O39" s="162"/>
      <c r="P39" s="162"/>
      <c r="Q39" s="163"/>
      <c r="R39" s="177"/>
      <c r="S39" s="177"/>
      <c r="T39" s="177"/>
      <c r="U39" s="177"/>
      <c r="V39" s="240"/>
    </row>
    <row r="40" spans="1:22">
      <c r="A40" s="232"/>
      <c r="B40" s="233"/>
      <c r="C40" s="233"/>
      <c r="D40" s="233"/>
      <c r="E40" s="234"/>
      <c r="F40" s="161"/>
      <c r="G40" s="162"/>
      <c r="H40" s="162"/>
      <c r="I40" s="162"/>
      <c r="J40" s="162"/>
      <c r="K40" s="162"/>
      <c r="L40" s="162"/>
      <c r="M40" s="162"/>
      <c r="N40" s="162"/>
      <c r="O40" s="162"/>
      <c r="P40" s="162"/>
      <c r="Q40" s="163"/>
      <c r="R40" s="177"/>
      <c r="S40" s="177"/>
      <c r="T40" s="177"/>
      <c r="U40" s="177"/>
      <c r="V40" s="240"/>
    </row>
    <row r="41" spans="1:22">
      <c r="A41" s="232"/>
      <c r="B41" s="233"/>
      <c r="C41" s="233"/>
      <c r="D41" s="233"/>
      <c r="E41" s="234"/>
      <c r="F41" s="161"/>
      <c r="G41" s="162"/>
      <c r="H41" s="162"/>
      <c r="I41" s="162"/>
      <c r="J41" s="162"/>
      <c r="K41" s="162"/>
      <c r="L41" s="162"/>
      <c r="M41" s="162"/>
      <c r="N41" s="162"/>
      <c r="O41" s="162"/>
      <c r="P41" s="162"/>
      <c r="Q41" s="163"/>
      <c r="R41" s="177"/>
      <c r="S41" s="177"/>
      <c r="T41" s="177"/>
      <c r="U41" s="177"/>
      <c r="V41" s="240"/>
    </row>
    <row r="42" spans="1:22">
      <c r="A42" s="232"/>
      <c r="B42" s="233"/>
      <c r="C42" s="233"/>
      <c r="D42" s="233"/>
      <c r="E42" s="234"/>
      <c r="F42" s="164"/>
      <c r="G42" s="165"/>
      <c r="H42" s="165"/>
      <c r="I42" s="165"/>
      <c r="J42" s="165"/>
      <c r="K42" s="165"/>
      <c r="L42" s="165"/>
      <c r="M42" s="165"/>
      <c r="N42" s="165"/>
      <c r="O42" s="165"/>
      <c r="P42" s="165"/>
      <c r="Q42" s="166"/>
      <c r="R42" s="177"/>
      <c r="S42" s="177"/>
      <c r="T42" s="177"/>
      <c r="U42" s="177"/>
      <c r="V42" s="240"/>
    </row>
    <row r="43" spans="1:22" ht="23.45" customHeight="1">
      <c r="A43" s="235"/>
      <c r="B43" s="236"/>
      <c r="C43" s="236"/>
      <c r="D43" s="236"/>
      <c r="E43" s="237"/>
      <c r="F43" s="265" t="str">
        <f>F6</f>
        <v>Mechanical Calculation Book For Fire Water Tanks (TK-2301A/B)</v>
      </c>
      <c r="G43" s="266"/>
      <c r="H43" s="266"/>
      <c r="I43" s="266"/>
      <c r="J43" s="266"/>
      <c r="K43" s="266"/>
      <c r="L43" s="266"/>
      <c r="M43" s="266"/>
      <c r="N43" s="266"/>
      <c r="O43" s="266"/>
      <c r="P43" s="266"/>
      <c r="Q43" s="267"/>
      <c r="R43" s="177"/>
      <c r="S43" s="177"/>
      <c r="T43" s="177"/>
      <c r="U43" s="177"/>
      <c r="V43" s="240"/>
    </row>
    <row r="44" spans="1:22" ht="27" customHeight="1">
      <c r="A44" s="167" t="s">
        <v>743</v>
      </c>
      <c r="B44" s="168"/>
      <c r="C44" s="168"/>
      <c r="D44" s="168"/>
      <c r="E44" s="169"/>
      <c r="F44" s="125" t="s">
        <v>744</v>
      </c>
      <c r="G44" s="170" t="s">
        <v>745</v>
      </c>
      <c r="H44" s="171"/>
      <c r="I44" s="170" t="s">
        <v>746</v>
      </c>
      <c r="J44" s="171"/>
      <c r="K44" s="170" t="s">
        <v>747</v>
      </c>
      <c r="L44" s="171"/>
      <c r="M44" s="125" t="s">
        <v>748</v>
      </c>
      <c r="N44" s="170" t="s">
        <v>749</v>
      </c>
      <c r="O44" s="171"/>
      <c r="P44" s="125" t="s">
        <v>750</v>
      </c>
      <c r="Q44" s="126" t="s">
        <v>751</v>
      </c>
      <c r="R44" s="172">
        <f>R7</f>
        <v>29</v>
      </c>
      <c r="S44" s="174" t="s">
        <v>752</v>
      </c>
      <c r="T44" s="263">
        <f>T7+1</f>
        <v>2</v>
      </c>
      <c r="U44" s="168" t="s">
        <v>753</v>
      </c>
      <c r="V44" s="188"/>
    </row>
    <row r="45" spans="1:22" ht="18" customHeight="1" thickBot="1">
      <c r="A45" s="191" t="s">
        <v>754</v>
      </c>
      <c r="B45" s="175"/>
      <c r="C45" s="175"/>
      <c r="D45" s="175"/>
      <c r="E45" s="192"/>
      <c r="F45" s="132" t="s">
        <v>755</v>
      </c>
      <c r="G45" s="193" t="s">
        <v>756</v>
      </c>
      <c r="H45" s="193"/>
      <c r="I45" s="193" t="s">
        <v>878</v>
      </c>
      <c r="J45" s="193"/>
      <c r="K45" s="193">
        <v>120</v>
      </c>
      <c r="L45" s="193"/>
      <c r="M45" s="132" t="s">
        <v>757</v>
      </c>
      <c r="N45" s="193" t="s">
        <v>879</v>
      </c>
      <c r="O45" s="193"/>
      <c r="P45" s="142" t="s">
        <v>881</v>
      </c>
      <c r="Q45" s="133" t="str">
        <f>Q8</f>
        <v>V01</v>
      </c>
      <c r="R45" s="173"/>
      <c r="S45" s="175"/>
      <c r="T45" s="264"/>
      <c r="U45" s="189"/>
      <c r="V45" s="190"/>
    </row>
    <row r="46" spans="1:22" ht="15">
      <c r="F46" s="276" t="s">
        <v>503</v>
      </c>
      <c r="G46" s="276"/>
      <c r="H46" s="276"/>
      <c r="I46" s="276"/>
      <c r="J46" s="276"/>
      <c r="K46" s="276"/>
      <c r="L46" s="276"/>
      <c r="M46" s="276"/>
      <c r="N46" s="276"/>
      <c r="O46" s="276"/>
      <c r="P46" s="276"/>
      <c r="Q46" s="276"/>
    </row>
    <row r="47" spans="1:22" ht="15" customHeight="1">
      <c r="B47" s="56"/>
      <c r="C47" s="56"/>
      <c r="D47" s="56"/>
      <c r="E47" s="56"/>
      <c r="F47" s="56"/>
      <c r="G47" s="56"/>
      <c r="H47" s="56"/>
      <c r="I47" s="56"/>
      <c r="J47" s="56"/>
      <c r="K47" s="56"/>
      <c r="L47" s="56"/>
      <c r="M47" s="56"/>
      <c r="N47" s="56"/>
      <c r="O47" s="56"/>
      <c r="P47" s="56"/>
      <c r="Q47" s="56"/>
      <c r="R47" s="56"/>
      <c r="S47" s="56"/>
      <c r="T47" s="56"/>
    </row>
    <row r="48" spans="1:22" ht="15" customHeight="1">
      <c r="B48" s="87" t="s">
        <v>504</v>
      </c>
      <c r="C48" s="141" t="s">
        <v>758</v>
      </c>
      <c r="D48" s="141" t="s">
        <v>860</v>
      </c>
      <c r="E48" s="141" t="s">
        <v>861</v>
      </c>
      <c r="F48" s="141" t="s">
        <v>862</v>
      </c>
      <c r="G48" s="141" t="s">
        <v>863</v>
      </c>
      <c r="H48" s="141" t="s">
        <v>864</v>
      </c>
      <c r="I48" s="141" t="s">
        <v>865</v>
      </c>
      <c r="J48" s="140" t="s">
        <v>866</v>
      </c>
      <c r="L48" s="56"/>
      <c r="M48" s="58" t="s">
        <v>504</v>
      </c>
      <c r="N48" s="141" t="s">
        <v>758</v>
      </c>
      <c r="O48" s="141" t="s">
        <v>860</v>
      </c>
      <c r="P48" s="141" t="s">
        <v>861</v>
      </c>
      <c r="Q48" s="141" t="s">
        <v>862</v>
      </c>
      <c r="R48" s="141" t="s">
        <v>863</v>
      </c>
      <c r="S48" s="141" t="s">
        <v>864</v>
      </c>
      <c r="T48" s="141" t="s">
        <v>865</v>
      </c>
      <c r="U48" s="140" t="s">
        <v>866</v>
      </c>
    </row>
    <row r="49" spans="2:21" ht="15" customHeight="1">
      <c r="B49" s="57">
        <v>1</v>
      </c>
      <c r="C49" s="88" t="s">
        <v>528</v>
      </c>
      <c r="D49" s="88"/>
      <c r="E49" s="88"/>
      <c r="F49" s="88"/>
      <c r="G49" s="88"/>
      <c r="H49" s="89"/>
      <c r="I49" s="2"/>
      <c r="J49" s="89"/>
      <c r="K49" s="56"/>
      <c r="L49" s="56"/>
      <c r="M49" s="57">
        <v>36</v>
      </c>
      <c r="N49" s="88"/>
      <c r="O49" s="85"/>
      <c r="P49" s="85"/>
      <c r="Q49" s="85"/>
      <c r="R49" s="88"/>
      <c r="S49" s="85"/>
      <c r="T49" s="85"/>
      <c r="U49" s="85"/>
    </row>
    <row r="50" spans="2:21" ht="23.25">
      <c r="B50" s="57">
        <v>2</v>
      </c>
      <c r="C50" s="88" t="s">
        <v>528</v>
      </c>
      <c r="D50" s="88"/>
      <c r="E50" s="88"/>
      <c r="F50" s="88"/>
      <c r="G50" s="88"/>
      <c r="H50" s="89"/>
      <c r="I50" s="2"/>
      <c r="J50" s="89"/>
      <c r="K50" s="54"/>
      <c r="M50" s="57">
        <v>37</v>
      </c>
      <c r="N50" s="88"/>
      <c r="O50" s="85"/>
      <c r="P50" s="85"/>
      <c r="Q50" s="85"/>
      <c r="R50" s="88"/>
      <c r="S50" s="85"/>
      <c r="T50" s="85"/>
      <c r="U50" s="85"/>
    </row>
    <row r="51" spans="2:21" ht="23.25">
      <c r="B51" s="57">
        <v>3</v>
      </c>
      <c r="C51" s="88" t="s">
        <v>528</v>
      </c>
      <c r="D51" s="88"/>
      <c r="E51" s="88"/>
      <c r="F51" s="88"/>
      <c r="G51" s="88"/>
      <c r="H51" s="89"/>
      <c r="I51" s="2"/>
      <c r="J51" s="89"/>
      <c r="L51" s="55"/>
      <c r="M51" s="57">
        <v>38</v>
      </c>
      <c r="N51" s="88"/>
      <c r="O51" s="85"/>
      <c r="P51" s="85"/>
      <c r="Q51" s="85"/>
      <c r="R51" s="85"/>
      <c r="S51" s="85"/>
      <c r="T51" s="85"/>
      <c r="U51" s="85"/>
    </row>
    <row r="52" spans="2:21" ht="23.25">
      <c r="B52" s="57">
        <v>4</v>
      </c>
      <c r="C52" s="88" t="s">
        <v>528</v>
      </c>
      <c r="D52" s="88"/>
      <c r="E52" s="88"/>
      <c r="F52" s="88"/>
      <c r="G52" s="88"/>
      <c r="H52" s="88"/>
      <c r="I52" s="2"/>
      <c r="J52" s="89"/>
      <c r="L52" s="13"/>
      <c r="M52" s="57">
        <v>39</v>
      </c>
      <c r="N52" s="85"/>
      <c r="O52" s="85"/>
      <c r="P52" s="85"/>
      <c r="Q52" s="85"/>
      <c r="R52" s="85"/>
      <c r="S52" s="85"/>
      <c r="T52" s="85"/>
      <c r="U52" s="85"/>
    </row>
    <row r="53" spans="2:21" ht="23.25">
      <c r="B53" s="57">
        <v>5</v>
      </c>
      <c r="C53" s="88" t="s">
        <v>528</v>
      </c>
      <c r="D53" s="88" t="s">
        <v>528</v>
      </c>
      <c r="E53" s="88"/>
      <c r="F53" s="88"/>
      <c r="G53" s="88"/>
      <c r="H53" s="89"/>
      <c r="I53" s="2"/>
      <c r="J53" s="89"/>
      <c r="L53" s="13"/>
      <c r="M53" s="57">
        <v>40</v>
      </c>
      <c r="N53" s="85"/>
      <c r="O53" s="85"/>
      <c r="P53" s="85"/>
      <c r="Q53" s="85"/>
      <c r="R53" s="85"/>
      <c r="S53" s="85"/>
      <c r="T53" s="85"/>
      <c r="U53" s="85"/>
    </row>
    <row r="54" spans="2:21" ht="23.25">
      <c r="B54" s="57">
        <v>6</v>
      </c>
      <c r="C54" s="88" t="s">
        <v>528</v>
      </c>
      <c r="D54" s="88" t="s">
        <v>528</v>
      </c>
      <c r="E54" s="88"/>
      <c r="F54" s="88"/>
      <c r="G54" s="88"/>
      <c r="H54" s="89"/>
      <c r="I54" s="2"/>
      <c r="J54" s="89"/>
      <c r="L54" s="13"/>
      <c r="M54" s="57">
        <v>41</v>
      </c>
      <c r="N54" s="85"/>
      <c r="O54" s="85"/>
      <c r="P54" s="85"/>
      <c r="Q54" s="85"/>
      <c r="R54" s="85"/>
      <c r="S54" s="85"/>
      <c r="T54" s="85"/>
      <c r="U54" s="85"/>
    </row>
    <row r="55" spans="2:21" ht="23.25">
      <c r="B55" s="57">
        <v>7</v>
      </c>
      <c r="C55" s="88" t="s">
        <v>528</v>
      </c>
      <c r="D55" s="88" t="s">
        <v>528</v>
      </c>
      <c r="E55" s="88"/>
      <c r="F55" s="88"/>
      <c r="G55" s="88"/>
      <c r="H55" s="89"/>
      <c r="I55" s="2"/>
      <c r="J55" s="89"/>
      <c r="L55" s="13"/>
      <c r="M55" s="57">
        <v>42</v>
      </c>
      <c r="N55" s="85"/>
      <c r="O55" s="85"/>
      <c r="P55" s="85"/>
      <c r="Q55" s="85"/>
      <c r="R55" s="85"/>
      <c r="S55" s="85"/>
      <c r="T55" s="85"/>
      <c r="U55" s="85"/>
    </row>
    <row r="56" spans="2:21" ht="23.25">
      <c r="B56" s="57">
        <v>8</v>
      </c>
      <c r="C56" s="88" t="s">
        <v>528</v>
      </c>
      <c r="D56" s="88" t="s">
        <v>528</v>
      </c>
      <c r="E56" s="88"/>
      <c r="F56" s="88"/>
      <c r="G56" s="88"/>
      <c r="H56" s="89"/>
      <c r="I56" s="2"/>
      <c r="J56" s="89"/>
      <c r="L56" s="13"/>
      <c r="M56" s="57">
        <v>43</v>
      </c>
      <c r="N56" s="85"/>
      <c r="O56" s="85"/>
      <c r="P56" s="85"/>
      <c r="Q56" s="85"/>
      <c r="R56" s="85"/>
      <c r="S56" s="85"/>
      <c r="T56" s="85"/>
      <c r="U56" s="85"/>
    </row>
    <row r="57" spans="2:21" ht="23.25">
      <c r="B57" s="57">
        <v>9</v>
      </c>
      <c r="C57" s="88" t="s">
        <v>528</v>
      </c>
      <c r="D57" s="88" t="s">
        <v>528</v>
      </c>
      <c r="E57" s="88"/>
      <c r="F57" s="88"/>
      <c r="G57" s="88"/>
      <c r="H57" s="89"/>
      <c r="I57" s="2"/>
      <c r="J57" s="89"/>
      <c r="L57" s="13"/>
      <c r="M57" s="57">
        <v>44</v>
      </c>
      <c r="N57" s="85"/>
      <c r="O57" s="85"/>
      <c r="P57" s="85"/>
      <c r="Q57" s="85"/>
      <c r="R57" s="85"/>
      <c r="S57" s="85"/>
      <c r="T57" s="85"/>
      <c r="U57" s="85"/>
    </row>
    <row r="58" spans="2:21" ht="23.25">
      <c r="B58" s="57">
        <v>10</v>
      </c>
      <c r="C58" s="88" t="s">
        <v>528</v>
      </c>
      <c r="D58" s="88" t="s">
        <v>528</v>
      </c>
      <c r="E58" s="88"/>
      <c r="F58" s="88"/>
      <c r="G58" s="88"/>
      <c r="H58" s="89"/>
      <c r="I58" s="2"/>
      <c r="J58" s="89"/>
      <c r="L58" s="13"/>
      <c r="M58" s="57">
        <v>45</v>
      </c>
      <c r="N58" s="85"/>
      <c r="O58" s="85"/>
      <c r="P58" s="85"/>
      <c r="Q58" s="85"/>
      <c r="R58" s="85"/>
      <c r="S58" s="85"/>
      <c r="T58" s="85"/>
      <c r="U58" s="85"/>
    </row>
    <row r="59" spans="2:21" ht="23.25">
      <c r="B59" s="57">
        <v>11</v>
      </c>
      <c r="C59" s="88" t="s">
        <v>528</v>
      </c>
      <c r="D59" s="88" t="s">
        <v>528</v>
      </c>
      <c r="E59" s="88"/>
      <c r="F59" s="88"/>
      <c r="G59" s="88"/>
      <c r="H59" s="89"/>
      <c r="I59" s="2"/>
      <c r="J59" s="89"/>
      <c r="L59" s="13"/>
      <c r="M59" s="57">
        <v>46</v>
      </c>
      <c r="N59" s="85"/>
      <c r="O59" s="85"/>
      <c r="P59" s="85"/>
      <c r="Q59" s="85"/>
      <c r="R59" s="85"/>
      <c r="S59" s="85"/>
      <c r="T59" s="85"/>
      <c r="U59" s="85"/>
    </row>
    <row r="60" spans="2:21" ht="23.25">
      <c r="B60" s="57">
        <v>12</v>
      </c>
      <c r="C60" s="88" t="s">
        <v>528</v>
      </c>
      <c r="D60" s="88" t="s">
        <v>528</v>
      </c>
      <c r="E60" s="88"/>
      <c r="F60" s="88"/>
      <c r="G60" s="88"/>
      <c r="H60" s="89"/>
      <c r="I60" s="2"/>
      <c r="J60" s="89"/>
      <c r="L60" s="13"/>
      <c r="M60" s="57">
        <v>47</v>
      </c>
      <c r="N60" s="85"/>
      <c r="O60" s="85"/>
      <c r="P60" s="85"/>
      <c r="Q60" s="85"/>
      <c r="R60" s="85"/>
      <c r="S60" s="85"/>
      <c r="T60" s="85"/>
      <c r="U60" s="85"/>
    </row>
    <row r="61" spans="2:21" ht="23.25">
      <c r="B61" s="57">
        <v>13</v>
      </c>
      <c r="C61" s="88" t="s">
        <v>528</v>
      </c>
      <c r="D61" s="88" t="s">
        <v>528</v>
      </c>
      <c r="E61" s="88"/>
      <c r="F61" s="88"/>
      <c r="G61" s="88"/>
      <c r="H61" s="89"/>
      <c r="I61" s="2"/>
      <c r="J61" s="89"/>
      <c r="L61" s="13"/>
      <c r="M61" s="57">
        <v>48</v>
      </c>
      <c r="N61" s="85"/>
      <c r="O61" s="85"/>
      <c r="P61" s="85"/>
      <c r="Q61" s="85"/>
      <c r="R61" s="85"/>
      <c r="S61" s="85"/>
      <c r="T61" s="85"/>
      <c r="U61" s="85"/>
    </row>
    <row r="62" spans="2:21" ht="23.25">
      <c r="B62" s="57">
        <v>14</v>
      </c>
      <c r="C62" s="88" t="s">
        <v>528</v>
      </c>
      <c r="D62" s="88"/>
      <c r="E62" s="88"/>
      <c r="F62" s="88"/>
      <c r="G62" s="88"/>
      <c r="H62" s="89"/>
      <c r="I62" s="2"/>
      <c r="J62" s="89"/>
      <c r="L62" s="13"/>
      <c r="M62" s="57">
        <v>49</v>
      </c>
      <c r="N62" s="85"/>
      <c r="O62" s="85"/>
      <c r="P62" s="85"/>
      <c r="Q62" s="85"/>
      <c r="R62" s="85"/>
      <c r="S62" s="85"/>
      <c r="T62" s="85"/>
      <c r="U62" s="85"/>
    </row>
    <row r="63" spans="2:21" ht="23.25">
      <c r="B63" s="57">
        <v>15</v>
      </c>
      <c r="C63" s="88" t="s">
        <v>528</v>
      </c>
      <c r="D63" s="88" t="s">
        <v>528</v>
      </c>
      <c r="E63" s="88"/>
      <c r="F63" s="88"/>
      <c r="G63" s="88"/>
      <c r="H63" s="89"/>
      <c r="I63" s="2"/>
      <c r="J63" s="89"/>
      <c r="L63" s="13"/>
      <c r="M63" s="57">
        <v>50</v>
      </c>
      <c r="N63" s="85"/>
      <c r="O63" s="85"/>
      <c r="P63" s="85"/>
      <c r="Q63" s="85"/>
      <c r="R63" s="85"/>
      <c r="S63" s="85"/>
      <c r="T63" s="85"/>
      <c r="U63" s="85"/>
    </row>
    <row r="64" spans="2:21" ht="23.25">
      <c r="B64" s="57">
        <v>16</v>
      </c>
      <c r="C64" s="88" t="s">
        <v>528</v>
      </c>
      <c r="D64" s="88" t="s">
        <v>528</v>
      </c>
      <c r="E64" s="88"/>
      <c r="F64" s="88"/>
      <c r="G64" s="88"/>
      <c r="H64" s="89"/>
      <c r="I64" s="2"/>
      <c r="J64" s="89"/>
      <c r="L64" s="13"/>
      <c r="M64" s="57">
        <v>51</v>
      </c>
      <c r="N64" s="85"/>
      <c r="O64" s="85"/>
      <c r="P64" s="85"/>
      <c r="Q64" s="85"/>
      <c r="R64" s="85"/>
      <c r="S64" s="85"/>
      <c r="T64" s="85"/>
      <c r="U64" s="85"/>
    </row>
    <row r="65" spans="2:21" ht="23.25">
      <c r="B65" s="57">
        <v>17</v>
      </c>
      <c r="C65" s="88" t="s">
        <v>528</v>
      </c>
      <c r="D65" s="88" t="s">
        <v>528</v>
      </c>
      <c r="E65" s="88"/>
      <c r="F65" s="88"/>
      <c r="G65" s="88"/>
      <c r="H65" s="89"/>
      <c r="I65" s="2"/>
      <c r="J65" s="89"/>
      <c r="L65" s="13"/>
      <c r="M65" s="57">
        <v>52</v>
      </c>
      <c r="N65" s="85"/>
      <c r="O65" s="85"/>
      <c r="P65" s="85"/>
      <c r="Q65" s="85"/>
      <c r="R65" s="85"/>
      <c r="S65" s="85"/>
      <c r="T65" s="85"/>
      <c r="U65" s="85"/>
    </row>
    <row r="66" spans="2:21" ht="23.25">
      <c r="B66" s="57">
        <v>18</v>
      </c>
      <c r="C66" s="88" t="s">
        <v>528</v>
      </c>
      <c r="D66" s="88" t="s">
        <v>528</v>
      </c>
      <c r="E66" s="88"/>
      <c r="F66" s="88"/>
      <c r="G66" s="88"/>
      <c r="H66" s="89"/>
      <c r="I66" s="2"/>
      <c r="J66" s="89"/>
      <c r="L66" s="13"/>
      <c r="M66" s="57">
        <v>53</v>
      </c>
      <c r="N66" s="85"/>
      <c r="O66" s="85"/>
      <c r="P66" s="85"/>
      <c r="Q66" s="85"/>
      <c r="R66" s="85"/>
      <c r="S66" s="85"/>
      <c r="T66" s="85"/>
      <c r="U66" s="85"/>
    </row>
    <row r="67" spans="2:21" ht="23.25">
      <c r="B67" s="57">
        <v>19</v>
      </c>
      <c r="C67" s="88" t="s">
        <v>528</v>
      </c>
      <c r="D67" s="88" t="s">
        <v>528</v>
      </c>
      <c r="E67" s="88"/>
      <c r="F67" s="88"/>
      <c r="G67" s="88"/>
      <c r="H67" s="89"/>
      <c r="I67" s="2"/>
      <c r="J67" s="89"/>
      <c r="L67" s="13"/>
      <c r="M67" s="57">
        <v>54</v>
      </c>
      <c r="N67" s="85"/>
      <c r="O67" s="85"/>
      <c r="P67" s="85"/>
      <c r="Q67" s="85"/>
      <c r="R67" s="85"/>
      <c r="S67" s="85"/>
      <c r="T67" s="85"/>
      <c r="U67" s="85"/>
    </row>
    <row r="68" spans="2:21" ht="23.25">
      <c r="B68" s="57">
        <v>20</v>
      </c>
      <c r="C68" s="88" t="s">
        <v>528</v>
      </c>
      <c r="D68" s="88" t="s">
        <v>528</v>
      </c>
      <c r="E68" s="88"/>
      <c r="F68" s="88"/>
      <c r="G68" s="88"/>
      <c r="H68" s="89"/>
      <c r="I68" s="2"/>
      <c r="J68" s="89"/>
      <c r="L68" s="13"/>
      <c r="M68" s="57">
        <v>55</v>
      </c>
      <c r="N68" s="85"/>
      <c r="O68" s="85"/>
      <c r="P68" s="85"/>
      <c r="Q68" s="85"/>
      <c r="R68" s="85"/>
      <c r="S68" s="85"/>
      <c r="T68" s="85"/>
      <c r="U68" s="85"/>
    </row>
    <row r="69" spans="2:21" ht="23.25">
      <c r="B69" s="57">
        <v>21</v>
      </c>
      <c r="C69" s="88" t="s">
        <v>528</v>
      </c>
      <c r="D69" s="88" t="s">
        <v>528</v>
      </c>
      <c r="E69" s="88"/>
      <c r="F69" s="88"/>
      <c r="G69" s="88"/>
      <c r="H69" s="89"/>
      <c r="I69" s="2"/>
      <c r="J69" s="89"/>
      <c r="L69" s="13"/>
      <c r="M69" s="57">
        <v>56</v>
      </c>
      <c r="N69" s="85"/>
      <c r="O69" s="85"/>
      <c r="P69" s="85"/>
      <c r="Q69" s="85"/>
      <c r="R69" s="85"/>
      <c r="S69" s="85"/>
      <c r="T69" s="85"/>
      <c r="U69" s="85"/>
    </row>
    <row r="70" spans="2:21" ht="23.25">
      <c r="B70" s="57">
        <v>22</v>
      </c>
      <c r="C70" s="88" t="s">
        <v>528</v>
      </c>
      <c r="D70" s="88" t="s">
        <v>528</v>
      </c>
      <c r="E70" s="88"/>
      <c r="F70" s="88"/>
      <c r="G70" s="88"/>
      <c r="H70" s="89"/>
      <c r="I70" s="2"/>
      <c r="J70" s="89"/>
      <c r="L70" s="13"/>
      <c r="M70" s="57">
        <v>57</v>
      </c>
      <c r="N70" s="85"/>
      <c r="O70" s="85"/>
      <c r="P70" s="85"/>
      <c r="Q70" s="85"/>
      <c r="R70" s="85"/>
      <c r="S70" s="85"/>
      <c r="T70" s="85"/>
      <c r="U70" s="85"/>
    </row>
    <row r="71" spans="2:21" ht="23.25">
      <c r="B71" s="57">
        <v>23</v>
      </c>
      <c r="C71" s="88" t="s">
        <v>528</v>
      </c>
      <c r="D71" s="88" t="s">
        <v>528</v>
      </c>
      <c r="E71" s="88"/>
      <c r="F71" s="88"/>
      <c r="G71" s="88"/>
      <c r="H71" s="89"/>
      <c r="I71" s="2"/>
      <c r="J71" s="89"/>
      <c r="L71" s="13"/>
      <c r="M71" s="57">
        <v>58</v>
      </c>
      <c r="N71" s="85"/>
      <c r="O71" s="85"/>
      <c r="P71" s="85"/>
      <c r="Q71" s="85"/>
      <c r="R71" s="85"/>
      <c r="S71" s="85"/>
      <c r="T71" s="85"/>
      <c r="U71" s="85"/>
    </row>
    <row r="72" spans="2:21" ht="23.25">
      <c r="B72" s="57">
        <v>24</v>
      </c>
      <c r="C72" s="88" t="s">
        <v>528</v>
      </c>
      <c r="D72" s="88" t="s">
        <v>528</v>
      </c>
      <c r="E72" s="88"/>
      <c r="F72" s="88"/>
      <c r="G72" s="88"/>
      <c r="H72" s="89"/>
      <c r="I72" s="2"/>
      <c r="J72" s="89"/>
      <c r="L72" s="13"/>
      <c r="M72" s="57">
        <v>59</v>
      </c>
      <c r="N72" s="85"/>
      <c r="O72" s="85"/>
      <c r="P72" s="85"/>
      <c r="Q72" s="85"/>
      <c r="R72" s="85"/>
      <c r="S72" s="85"/>
      <c r="T72" s="85"/>
      <c r="U72" s="85"/>
    </row>
    <row r="73" spans="2:21" ht="23.25">
      <c r="B73" s="57">
        <v>25</v>
      </c>
      <c r="C73" s="88" t="s">
        <v>528</v>
      </c>
      <c r="D73" s="88" t="s">
        <v>528</v>
      </c>
      <c r="E73" s="88"/>
      <c r="F73" s="88"/>
      <c r="G73" s="88"/>
      <c r="H73" s="89"/>
      <c r="I73" s="2"/>
      <c r="J73" s="89"/>
      <c r="L73" s="13"/>
      <c r="M73" s="57">
        <v>60</v>
      </c>
      <c r="N73" s="85"/>
      <c r="O73" s="85"/>
      <c r="P73" s="85"/>
      <c r="Q73" s="85"/>
      <c r="R73" s="85"/>
      <c r="S73" s="85"/>
      <c r="T73" s="85"/>
      <c r="U73" s="85"/>
    </row>
    <row r="74" spans="2:21" ht="23.25">
      <c r="B74" s="57">
        <v>26</v>
      </c>
      <c r="C74" s="88" t="s">
        <v>528</v>
      </c>
      <c r="D74" s="88" t="s">
        <v>528</v>
      </c>
      <c r="E74" s="88"/>
      <c r="F74" s="88"/>
      <c r="G74" s="88"/>
      <c r="H74" s="89"/>
      <c r="I74" s="2"/>
      <c r="J74" s="89"/>
      <c r="L74" s="13"/>
      <c r="M74" s="57">
        <v>61</v>
      </c>
      <c r="N74" s="85"/>
      <c r="O74" s="85"/>
      <c r="P74" s="85"/>
      <c r="Q74" s="85"/>
      <c r="R74" s="85"/>
      <c r="S74" s="85"/>
      <c r="T74" s="85"/>
      <c r="U74" s="85"/>
    </row>
    <row r="75" spans="2:21" ht="23.25">
      <c r="B75" s="57">
        <v>27</v>
      </c>
      <c r="C75" s="88" t="s">
        <v>528</v>
      </c>
      <c r="D75" s="88" t="s">
        <v>528</v>
      </c>
      <c r="E75" s="88"/>
      <c r="F75" s="88"/>
      <c r="G75" s="88"/>
      <c r="H75" s="89"/>
      <c r="I75" s="2"/>
      <c r="J75" s="89"/>
      <c r="L75" s="13"/>
      <c r="M75" s="57">
        <v>62</v>
      </c>
      <c r="N75" s="85"/>
      <c r="O75" s="85"/>
      <c r="P75" s="85"/>
      <c r="Q75" s="85"/>
      <c r="R75" s="85"/>
      <c r="S75" s="85"/>
      <c r="T75" s="85"/>
      <c r="U75" s="85"/>
    </row>
    <row r="76" spans="2:21" ht="23.25">
      <c r="B76" s="57">
        <v>28</v>
      </c>
      <c r="C76" s="88" t="s">
        <v>528</v>
      </c>
      <c r="D76" s="88" t="s">
        <v>528</v>
      </c>
      <c r="E76" s="88"/>
      <c r="F76" s="88"/>
      <c r="G76" s="88"/>
      <c r="H76" s="89"/>
      <c r="I76" s="2"/>
      <c r="J76" s="89"/>
      <c r="L76" s="13"/>
      <c r="M76" s="57">
        <v>63</v>
      </c>
      <c r="N76" s="85"/>
      <c r="O76" s="85"/>
      <c r="P76" s="85"/>
      <c r="Q76" s="85"/>
      <c r="R76" s="85"/>
      <c r="S76" s="85"/>
      <c r="T76" s="85"/>
      <c r="U76" s="85"/>
    </row>
    <row r="77" spans="2:21" ht="23.25">
      <c r="B77" s="57">
        <v>29</v>
      </c>
      <c r="C77" s="88" t="s">
        <v>528</v>
      </c>
      <c r="D77" s="88" t="s">
        <v>528</v>
      </c>
      <c r="E77" s="88"/>
      <c r="F77" s="88"/>
      <c r="G77" s="88"/>
      <c r="H77" s="83"/>
      <c r="I77" s="2"/>
      <c r="J77" s="89"/>
      <c r="L77" s="13"/>
      <c r="M77" s="57">
        <v>64</v>
      </c>
      <c r="N77" s="85"/>
      <c r="O77" s="85"/>
      <c r="P77" s="85"/>
      <c r="Q77" s="85"/>
      <c r="R77" s="85"/>
      <c r="S77" s="85"/>
      <c r="T77" s="85"/>
      <c r="U77" s="85"/>
    </row>
    <row r="78" spans="2:21" ht="23.25">
      <c r="B78" s="57">
        <v>30</v>
      </c>
      <c r="C78" s="88"/>
      <c r="D78" s="88"/>
      <c r="E78" s="88"/>
      <c r="F78" s="88"/>
      <c r="G78" s="88"/>
      <c r="H78" s="83"/>
      <c r="I78" s="2"/>
      <c r="J78" s="89"/>
      <c r="L78" s="13"/>
      <c r="M78" s="57">
        <v>65</v>
      </c>
      <c r="N78" s="85"/>
      <c r="O78" s="85"/>
      <c r="P78" s="85"/>
      <c r="Q78" s="85"/>
      <c r="R78" s="85"/>
      <c r="S78" s="85"/>
      <c r="T78" s="85"/>
      <c r="U78" s="85"/>
    </row>
    <row r="79" spans="2:21" ht="23.25">
      <c r="B79" s="57">
        <v>31</v>
      </c>
      <c r="C79" s="88"/>
      <c r="D79" s="88"/>
      <c r="E79" s="88"/>
      <c r="F79" s="88"/>
      <c r="G79" s="88"/>
      <c r="H79" s="83"/>
      <c r="I79" s="2"/>
      <c r="J79" s="89"/>
      <c r="L79" s="13"/>
      <c r="M79" s="57">
        <v>66</v>
      </c>
      <c r="N79" s="85"/>
      <c r="O79" s="85"/>
      <c r="P79" s="85"/>
      <c r="Q79" s="85"/>
      <c r="R79" s="85"/>
      <c r="S79" s="85"/>
      <c r="T79" s="85"/>
      <c r="U79" s="85"/>
    </row>
    <row r="80" spans="2:21" ht="23.25">
      <c r="B80" s="57">
        <v>32</v>
      </c>
      <c r="C80" s="88"/>
      <c r="D80" s="88"/>
      <c r="E80" s="88"/>
      <c r="F80" s="86"/>
      <c r="G80" s="88"/>
      <c r="H80" s="85"/>
      <c r="I80" s="85"/>
      <c r="J80" s="85"/>
      <c r="L80" s="13"/>
      <c r="M80" s="57">
        <v>67</v>
      </c>
      <c r="N80" s="85"/>
      <c r="O80" s="85"/>
      <c r="P80" s="85"/>
      <c r="Q80" s="85"/>
      <c r="R80" s="85"/>
      <c r="S80" s="85"/>
      <c r="T80" s="85"/>
      <c r="U80" s="85"/>
    </row>
    <row r="81" spans="1:22" ht="23.25">
      <c r="B81" s="57">
        <v>33</v>
      </c>
      <c r="C81" s="88"/>
      <c r="D81" s="88"/>
      <c r="E81" s="88"/>
      <c r="F81" s="86"/>
      <c r="G81" s="88"/>
      <c r="H81" s="85"/>
      <c r="I81" s="85"/>
      <c r="J81" s="85"/>
      <c r="L81" s="13"/>
      <c r="M81" s="57">
        <v>68</v>
      </c>
      <c r="N81" s="85"/>
      <c r="O81" s="85"/>
      <c r="P81" s="85"/>
      <c r="Q81" s="85"/>
      <c r="R81" s="85"/>
      <c r="S81" s="85"/>
      <c r="T81" s="85"/>
      <c r="U81" s="85"/>
    </row>
    <row r="82" spans="1:22" ht="23.25">
      <c r="B82" s="57">
        <v>34</v>
      </c>
      <c r="C82" s="88"/>
      <c r="D82" s="88"/>
      <c r="E82" s="88"/>
      <c r="F82" s="86"/>
      <c r="G82" s="88"/>
      <c r="H82" s="85"/>
      <c r="I82" s="85"/>
      <c r="J82" s="85"/>
      <c r="L82" s="13"/>
      <c r="M82" s="57">
        <v>69</v>
      </c>
      <c r="N82" s="85"/>
      <c r="O82" s="85"/>
      <c r="P82" s="85"/>
      <c r="Q82" s="85"/>
      <c r="R82" s="85"/>
      <c r="S82" s="85"/>
      <c r="T82" s="85"/>
      <c r="U82" s="85"/>
    </row>
    <row r="83" spans="1:22" ht="23.25">
      <c r="B83" s="84">
        <v>35</v>
      </c>
      <c r="C83" s="88"/>
      <c r="D83" s="88"/>
      <c r="E83" s="88"/>
      <c r="F83" s="86"/>
      <c r="G83" s="88"/>
      <c r="H83" s="85"/>
      <c r="I83" s="85"/>
      <c r="J83" s="85"/>
      <c r="L83" s="13"/>
      <c r="M83" s="84">
        <v>70</v>
      </c>
      <c r="N83" s="85"/>
      <c r="O83" s="85"/>
      <c r="P83" s="85"/>
      <c r="Q83" s="85"/>
      <c r="R83" s="85"/>
      <c r="S83" s="85"/>
      <c r="T83" s="85"/>
      <c r="U83" s="85"/>
    </row>
    <row r="84" spans="1:22" ht="15" thickBot="1">
      <c r="C84" s="42"/>
      <c r="D84" s="42"/>
      <c r="E84" s="42"/>
      <c r="F84" s="42"/>
    </row>
    <row r="85" spans="1:22" ht="15" customHeight="1">
      <c r="A85" s="229"/>
      <c r="B85" s="230"/>
      <c r="C85" s="230"/>
      <c r="D85" s="230"/>
      <c r="E85" s="231"/>
      <c r="F85" s="158" t="s">
        <v>886</v>
      </c>
      <c r="G85" s="159"/>
      <c r="H85" s="159"/>
      <c r="I85" s="159"/>
      <c r="J85" s="159"/>
      <c r="K85" s="159"/>
      <c r="L85" s="159"/>
      <c r="M85" s="159"/>
      <c r="N85" s="159"/>
      <c r="O85" s="159"/>
      <c r="P85" s="159"/>
      <c r="Q85" s="160"/>
      <c r="R85" s="238"/>
      <c r="S85" s="238"/>
      <c r="T85" s="238"/>
      <c r="U85" s="238"/>
      <c r="V85" s="239"/>
    </row>
    <row r="86" spans="1:22">
      <c r="A86" s="232"/>
      <c r="B86" s="233"/>
      <c r="C86" s="233"/>
      <c r="D86" s="233"/>
      <c r="E86" s="234"/>
      <c r="F86" s="161"/>
      <c r="G86" s="162"/>
      <c r="H86" s="162"/>
      <c r="I86" s="162"/>
      <c r="J86" s="162"/>
      <c r="K86" s="162"/>
      <c r="L86" s="162"/>
      <c r="M86" s="162"/>
      <c r="N86" s="162"/>
      <c r="O86" s="162"/>
      <c r="P86" s="162"/>
      <c r="Q86" s="163"/>
      <c r="R86" s="177"/>
      <c r="S86" s="177"/>
      <c r="T86" s="177"/>
      <c r="U86" s="177"/>
      <c r="V86" s="240"/>
    </row>
    <row r="87" spans="1:22">
      <c r="A87" s="232"/>
      <c r="B87" s="233"/>
      <c r="C87" s="233"/>
      <c r="D87" s="233"/>
      <c r="E87" s="234"/>
      <c r="F87" s="161"/>
      <c r="G87" s="162"/>
      <c r="H87" s="162"/>
      <c r="I87" s="162"/>
      <c r="J87" s="162"/>
      <c r="K87" s="162"/>
      <c r="L87" s="162"/>
      <c r="M87" s="162"/>
      <c r="N87" s="162"/>
      <c r="O87" s="162"/>
      <c r="P87" s="162"/>
      <c r="Q87" s="163"/>
      <c r="R87" s="177"/>
      <c r="S87" s="177"/>
      <c r="T87" s="177"/>
      <c r="U87" s="177"/>
      <c r="V87" s="240"/>
    </row>
    <row r="88" spans="1:22">
      <c r="A88" s="232"/>
      <c r="B88" s="233"/>
      <c r="C88" s="233"/>
      <c r="D88" s="233"/>
      <c r="E88" s="234"/>
      <c r="F88" s="161"/>
      <c r="G88" s="162"/>
      <c r="H88" s="162"/>
      <c r="I88" s="162"/>
      <c r="J88" s="162"/>
      <c r="K88" s="162"/>
      <c r="L88" s="162"/>
      <c r="M88" s="162"/>
      <c r="N88" s="162"/>
      <c r="O88" s="162"/>
      <c r="P88" s="162"/>
      <c r="Q88" s="163"/>
      <c r="R88" s="177"/>
      <c r="S88" s="177"/>
      <c r="T88" s="177"/>
      <c r="U88" s="177"/>
      <c r="V88" s="240"/>
    </row>
    <row r="89" spans="1:22">
      <c r="A89" s="232"/>
      <c r="B89" s="233"/>
      <c r="C89" s="233"/>
      <c r="D89" s="233"/>
      <c r="E89" s="234"/>
      <c r="F89" s="164"/>
      <c r="G89" s="165"/>
      <c r="H89" s="165"/>
      <c r="I89" s="165"/>
      <c r="J89" s="165"/>
      <c r="K89" s="165"/>
      <c r="L89" s="165"/>
      <c r="M89" s="165"/>
      <c r="N89" s="165"/>
      <c r="O89" s="165"/>
      <c r="P89" s="165"/>
      <c r="Q89" s="166"/>
      <c r="R89" s="177"/>
      <c r="S89" s="177"/>
      <c r="T89" s="177"/>
      <c r="U89" s="177"/>
      <c r="V89" s="240"/>
    </row>
    <row r="90" spans="1:22" ht="24" customHeight="1">
      <c r="A90" s="235"/>
      <c r="B90" s="236"/>
      <c r="C90" s="236"/>
      <c r="D90" s="236"/>
      <c r="E90" s="237"/>
      <c r="F90" s="265" t="str">
        <f>F43</f>
        <v>Mechanical Calculation Book For Fire Water Tanks (TK-2301A/B)</v>
      </c>
      <c r="G90" s="266"/>
      <c r="H90" s="266"/>
      <c r="I90" s="266"/>
      <c r="J90" s="266"/>
      <c r="K90" s="266"/>
      <c r="L90" s="266"/>
      <c r="M90" s="266"/>
      <c r="N90" s="266"/>
      <c r="O90" s="266"/>
      <c r="P90" s="266"/>
      <c r="Q90" s="267"/>
      <c r="R90" s="177"/>
      <c r="S90" s="177"/>
      <c r="T90" s="177"/>
      <c r="U90" s="177"/>
      <c r="V90" s="240"/>
    </row>
    <row r="91" spans="1:22" ht="22.15" customHeight="1">
      <c r="A91" s="167" t="s">
        <v>743</v>
      </c>
      <c r="B91" s="168"/>
      <c r="C91" s="168"/>
      <c r="D91" s="168"/>
      <c r="E91" s="169"/>
      <c r="F91" s="125" t="s">
        <v>744</v>
      </c>
      <c r="G91" s="170" t="s">
        <v>745</v>
      </c>
      <c r="H91" s="171"/>
      <c r="I91" s="170" t="s">
        <v>746</v>
      </c>
      <c r="J91" s="171"/>
      <c r="K91" s="170" t="s">
        <v>747</v>
      </c>
      <c r="L91" s="171"/>
      <c r="M91" s="125" t="s">
        <v>748</v>
      </c>
      <c r="N91" s="170" t="s">
        <v>749</v>
      </c>
      <c r="O91" s="171"/>
      <c r="P91" s="125" t="s">
        <v>750</v>
      </c>
      <c r="Q91" s="126" t="s">
        <v>751</v>
      </c>
      <c r="R91" s="172">
        <f>R44</f>
        <v>29</v>
      </c>
      <c r="S91" s="174" t="s">
        <v>752</v>
      </c>
      <c r="T91" s="263">
        <f>T44+1</f>
        <v>3</v>
      </c>
      <c r="U91" s="168" t="s">
        <v>753</v>
      </c>
      <c r="V91" s="188"/>
    </row>
    <row r="92" spans="1:22" ht="22.9" customHeight="1" thickBot="1">
      <c r="A92" s="191" t="s">
        <v>754</v>
      </c>
      <c r="B92" s="175"/>
      <c r="C92" s="175"/>
      <c r="D92" s="175"/>
      <c r="E92" s="192"/>
      <c r="F92" s="132" t="s">
        <v>755</v>
      </c>
      <c r="G92" s="193" t="s">
        <v>756</v>
      </c>
      <c r="H92" s="193"/>
      <c r="I92" s="193" t="s">
        <v>878</v>
      </c>
      <c r="J92" s="193"/>
      <c r="K92" s="193">
        <v>120</v>
      </c>
      <c r="L92" s="193"/>
      <c r="M92" s="132" t="s">
        <v>757</v>
      </c>
      <c r="N92" s="193" t="s">
        <v>879</v>
      </c>
      <c r="O92" s="193"/>
      <c r="P92" s="142" t="s">
        <v>881</v>
      </c>
      <c r="Q92" s="133" t="str">
        <f>Q45</f>
        <v>V01</v>
      </c>
      <c r="R92" s="173"/>
      <c r="S92" s="175"/>
      <c r="T92" s="264"/>
      <c r="U92" s="189"/>
      <c r="V92" s="190"/>
    </row>
    <row r="93" spans="1:22" ht="15">
      <c r="B93" s="270" t="s">
        <v>1</v>
      </c>
      <c r="C93" s="270"/>
      <c r="D93" s="270"/>
      <c r="E93" s="270"/>
      <c r="F93" s="270"/>
      <c r="G93" s="270"/>
      <c r="H93" s="270"/>
      <c r="I93" s="270"/>
      <c r="J93" s="270"/>
      <c r="K93" s="270"/>
      <c r="L93" s="270"/>
      <c r="M93" s="270"/>
      <c r="N93" s="270"/>
      <c r="O93" s="270"/>
      <c r="P93" s="270"/>
      <c r="Q93" s="270"/>
      <c r="R93" s="30"/>
    </row>
    <row r="94" spans="1:22" ht="15">
      <c r="B94" s="270"/>
      <c r="C94" s="270"/>
      <c r="D94" s="270"/>
      <c r="E94" s="270"/>
      <c r="F94" s="270"/>
      <c r="G94" s="270"/>
      <c r="H94" s="270"/>
      <c r="I94" s="270"/>
      <c r="J94" s="270"/>
      <c r="K94" s="270"/>
      <c r="L94" s="270"/>
      <c r="M94" s="270"/>
      <c r="N94" s="270"/>
      <c r="O94" s="270"/>
      <c r="P94" s="270"/>
      <c r="Q94" s="270"/>
      <c r="R94" s="30"/>
    </row>
    <row r="95" spans="1:22" ht="15">
      <c r="B95" s="30"/>
      <c r="C95" s="30"/>
      <c r="D95" s="30"/>
      <c r="E95" s="30"/>
      <c r="F95" s="30"/>
      <c r="G95" s="30"/>
      <c r="H95" s="30"/>
      <c r="I95" s="30"/>
      <c r="J95" s="30"/>
      <c r="K95" s="30"/>
      <c r="L95" s="30"/>
      <c r="M95" s="30"/>
      <c r="N95" s="30"/>
      <c r="O95" s="30"/>
      <c r="P95" s="30"/>
      <c r="Q95" s="30"/>
      <c r="R95" s="30"/>
    </row>
    <row r="96" spans="1:22" ht="15" customHeight="1">
      <c r="B96" s="81" t="s">
        <v>634</v>
      </c>
      <c r="C96" s="43"/>
      <c r="D96" s="43"/>
      <c r="E96" s="43"/>
      <c r="F96" s="43"/>
      <c r="G96" s="43"/>
      <c r="H96" s="43"/>
      <c r="I96" s="43"/>
      <c r="J96" s="43"/>
      <c r="K96" s="43"/>
      <c r="L96" s="43"/>
      <c r="M96" s="43"/>
      <c r="N96" s="43"/>
      <c r="O96" s="43"/>
      <c r="P96" s="43"/>
      <c r="Q96" s="43"/>
      <c r="R96" s="43"/>
      <c r="S96" s="27"/>
      <c r="T96" s="273" t="s">
        <v>635</v>
      </c>
      <c r="U96" s="273"/>
    </row>
    <row r="97" spans="2:21">
      <c r="B97" s="43" t="str">
        <f>B141</f>
        <v>Design Data:</v>
      </c>
      <c r="C97" s="43"/>
      <c r="D97" s="43"/>
      <c r="E97" s="43"/>
      <c r="F97" s="43"/>
      <c r="G97" s="43"/>
      <c r="H97" s="43"/>
      <c r="I97" s="43"/>
      <c r="J97" s="43"/>
      <c r="K97" s="43"/>
      <c r="L97" s="43"/>
      <c r="M97" s="43"/>
      <c r="N97" s="43"/>
      <c r="O97" s="43"/>
      <c r="P97" s="43"/>
      <c r="Q97" s="43"/>
      <c r="R97" s="43"/>
      <c r="S97" s="27"/>
      <c r="T97" s="271">
        <f>T139</f>
        <v>4</v>
      </c>
      <c r="U97" s="271"/>
    </row>
    <row r="98" spans="2:21">
      <c r="B98" s="43" t="str">
        <f>B198</f>
        <v>Material of Parts:</v>
      </c>
      <c r="C98" s="43"/>
      <c r="D98" s="43"/>
      <c r="E98" s="43"/>
      <c r="F98" s="43"/>
      <c r="G98" s="43"/>
      <c r="H98" s="43"/>
      <c r="I98" s="43"/>
      <c r="J98" s="43"/>
      <c r="K98" s="43"/>
      <c r="L98" s="43"/>
      <c r="M98" s="43"/>
      <c r="N98" s="43"/>
      <c r="O98" s="43"/>
      <c r="P98" s="43"/>
      <c r="Q98" s="43"/>
      <c r="R98" s="43"/>
      <c r="S98" s="27"/>
      <c r="T98" s="271">
        <f>T196</f>
        <v>5</v>
      </c>
      <c r="U98" s="271"/>
    </row>
    <row r="99" spans="2:21" ht="16.5" customHeight="1">
      <c r="B99" s="272" t="str">
        <f>'Shell Plate Design '!B9</f>
        <v>Shell Plate Design:</v>
      </c>
      <c r="C99" s="272"/>
      <c r="D99" s="272"/>
      <c r="E99" s="71"/>
      <c r="F99" s="71"/>
      <c r="G99" s="71"/>
      <c r="H99" s="71"/>
      <c r="I99" s="71"/>
      <c r="J99" s="71"/>
      <c r="K99" s="71"/>
      <c r="L99" s="71"/>
      <c r="M99" s="71"/>
      <c r="N99" s="71"/>
      <c r="O99" s="71"/>
      <c r="P99" s="71"/>
      <c r="Q99" s="71"/>
      <c r="R99" s="71"/>
      <c r="T99" s="271">
        <f>'Shell Plate Design '!T7</f>
        <v>6</v>
      </c>
      <c r="U99" s="271"/>
    </row>
    <row r="100" spans="2:21" ht="16.5" customHeight="1">
      <c r="B100" s="275" t="str">
        <f>'Shell Plate Design '!B62</f>
        <v>Requirement for Impact Testing</v>
      </c>
      <c r="C100" s="275"/>
      <c r="D100" s="275"/>
      <c r="E100" s="275"/>
      <c r="F100" s="275"/>
      <c r="G100" s="71"/>
      <c r="H100" s="71"/>
      <c r="I100" s="71"/>
      <c r="J100" s="71"/>
      <c r="K100" s="71"/>
      <c r="L100" s="71"/>
      <c r="M100" s="71"/>
      <c r="N100" s="71"/>
      <c r="O100" s="71"/>
      <c r="P100" s="71"/>
      <c r="Q100" s="71"/>
      <c r="R100" s="71"/>
      <c r="T100" s="271">
        <f>'Shell Plate Design '!T59</f>
        <v>7</v>
      </c>
      <c r="U100" s="271"/>
    </row>
    <row r="101" spans="2:21">
      <c r="B101" s="71" t="str">
        <f>'Bottom &amp; Annular plate design'!B9</f>
        <v xml:space="preserve">Bottom plate design:
</v>
      </c>
      <c r="C101" s="71"/>
      <c r="D101" s="71"/>
      <c r="E101" s="71"/>
      <c r="F101" s="71"/>
      <c r="G101" s="71"/>
      <c r="H101" s="71"/>
      <c r="I101" s="71"/>
      <c r="J101" s="71"/>
      <c r="K101" s="71"/>
      <c r="L101" s="71"/>
      <c r="M101" s="71"/>
      <c r="N101" s="71"/>
      <c r="O101" s="71"/>
      <c r="P101" s="71"/>
      <c r="Q101" s="71"/>
      <c r="R101" s="71"/>
      <c r="T101" s="271">
        <f>'Bottom &amp; Annular plate design'!T7</f>
        <v>8</v>
      </c>
      <c r="U101" s="271"/>
    </row>
    <row r="102" spans="2:21">
      <c r="B102" s="71" t="str">
        <f>'Bottom &amp; Annular plate design'!B16</f>
        <v xml:space="preserve">Annular plate design:
</v>
      </c>
      <c r="C102" s="71"/>
      <c r="D102" s="71"/>
      <c r="E102" s="71"/>
      <c r="F102" s="71"/>
      <c r="G102" s="71"/>
      <c r="H102" s="71"/>
      <c r="I102" s="71"/>
      <c r="J102" s="71"/>
      <c r="K102" s="71"/>
      <c r="L102" s="71"/>
      <c r="M102" s="71"/>
      <c r="N102" s="71"/>
      <c r="O102" s="71"/>
      <c r="P102" s="71"/>
      <c r="Q102" s="71"/>
      <c r="R102" s="71"/>
      <c r="T102" s="271">
        <f>'Bottom &amp; Annular plate design'!T52</f>
        <v>9</v>
      </c>
      <c r="U102" s="271"/>
    </row>
    <row r="103" spans="2:21">
      <c r="B103" s="71" t="str">
        <f>'Roof design'!B9</f>
        <v>Fix Roof design:</v>
      </c>
      <c r="C103" s="71"/>
      <c r="D103" s="71"/>
      <c r="E103" s="71"/>
      <c r="F103" s="71"/>
      <c r="G103" s="71"/>
      <c r="H103" s="71"/>
      <c r="I103" s="71"/>
      <c r="J103" s="71"/>
      <c r="K103" s="71"/>
      <c r="L103" s="71"/>
      <c r="M103" s="71"/>
      <c r="N103" s="71"/>
      <c r="O103" s="71"/>
      <c r="P103" s="71"/>
      <c r="Q103" s="71"/>
      <c r="R103" s="71"/>
      <c r="T103" s="271">
        <f>'Roof design'!T7</f>
        <v>10</v>
      </c>
      <c r="U103" s="271"/>
    </row>
    <row r="104" spans="2:21">
      <c r="B104" s="71" t="str">
        <f>'Top Angle &amp; Intermediate wind g'!B10</f>
        <v>Top Angle:</v>
      </c>
      <c r="C104" s="71"/>
      <c r="D104" s="71"/>
      <c r="E104" s="71"/>
      <c r="F104" s="71"/>
      <c r="G104" s="71"/>
      <c r="H104" s="71"/>
      <c r="I104" s="71"/>
      <c r="J104" s="71"/>
      <c r="K104" s="71"/>
      <c r="L104" s="71"/>
      <c r="M104" s="71"/>
      <c r="N104" s="71"/>
      <c r="O104" s="71"/>
      <c r="P104" s="71"/>
      <c r="Q104" s="71"/>
      <c r="R104" s="71"/>
      <c r="T104" s="271">
        <f>'Top Angle &amp; Intermediate wind g'!T7</f>
        <v>11</v>
      </c>
      <c r="U104" s="271"/>
    </row>
    <row r="105" spans="2:21">
      <c r="B105" s="71" t="str">
        <f>'Top Angle &amp; Intermediate wind g'!B54</f>
        <v>Intermediate wind girder:</v>
      </c>
      <c r="C105" s="71"/>
      <c r="D105" s="71"/>
      <c r="E105" s="71"/>
      <c r="F105" s="71"/>
      <c r="G105" s="71"/>
      <c r="H105" s="71"/>
      <c r="I105" s="71"/>
      <c r="J105" s="71"/>
      <c r="K105" s="71"/>
      <c r="L105" s="71"/>
      <c r="M105" s="71"/>
      <c r="N105" s="71"/>
      <c r="O105" s="71"/>
      <c r="P105" s="71"/>
      <c r="Q105" s="71"/>
      <c r="R105" s="71"/>
      <c r="T105" s="274">
        <f>'Top Angle &amp; Intermediate wind g'!T111</f>
        <v>13</v>
      </c>
      <c r="U105" s="274"/>
    </row>
    <row r="106" spans="2:21" ht="15.75" customHeight="1">
      <c r="B106" s="272" t="str">
        <f>'Wind overturning stability'!B9</f>
        <v>Wind overturning stability:</v>
      </c>
      <c r="C106" s="272"/>
      <c r="D106" s="272"/>
      <c r="E106" s="272"/>
      <c r="F106" s="272"/>
      <c r="G106" s="272"/>
      <c r="H106" s="272"/>
      <c r="I106" s="71"/>
      <c r="J106" s="71"/>
      <c r="K106" s="71"/>
      <c r="L106" s="71"/>
      <c r="M106" s="71"/>
      <c r="N106" s="71"/>
      <c r="O106" s="71"/>
      <c r="P106" s="71"/>
      <c r="Q106" s="71"/>
      <c r="R106" s="71"/>
      <c r="T106" s="271">
        <f>'Wind overturning stability'!T7</f>
        <v>14</v>
      </c>
      <c r="U106" s="271"/>
    </row>
    <row r="107" spans="2:21">
      <c r="B107" s="71" t="str">
        <f>'Seismic design2007'!A10</f>
        <v>Seismic Design (APP."E")</v>
      </c>
      <c r="C107" s="71"/>
      <c r="D107" s="71"/>
      <c r="E107" s="71"/>
      <c r="F107" s="71"/>
      <c r="G107" s="71"/>
      <c r="H107" s="71"/>
      <c r="I107" s="71"/>
      <c r="J107" s="71"/>
      <c r="K107" s="71"/>
      <c r="L107" s="71"/>
      <c r="M107" s="71"/>
      <c r="N107" s="71"/>
      <c r="O107" s="71"/>
      <c r="P107" s="71"/>
      <c r="Q107" s="71"/>
      <c r="R107" s="71"/>
      <c r="T107" s="271">
        <f>'Seismic design2007'!T7</f>
        <v>16</v>
      </c>
      <c r="U107" s="271"/>
    </row>
    <row r="108" spans="2:21">
      <c r="B108" s="71" t="str">
        <f>'Anchor Bolt'!A9</f>
        <v>Anchor Bolt Sizing</v>
      </c>
      <c r="C108" s="71"/>
      <c r="D108" s="71"/>
      <c r="E108" s="71"/>
      <c r="F108" s="71"/>
      <c r="G108" s="71"/>
      <c r="H108" s="71"/>
      <c r="I108" s="71"/>
      <c r="J108" s="71"/>
      <c r="K108" s="71"/>
      <c r="L108" s="71"/>
      <c r="M108" s="71"/>
      <c r="N108" s="71"/>
      <c r="O108" s="71"/>
      <c r="P108" s="71"/>
      <c r="Q108" s="71"/>
      <c r="R108" s="71"/>
      <c r="T108" s="274">
        <f>'Anchor Bolt'!T7</f>
        <v>25</v>
      </c>
      <c r="U108" s="274"/>
    </row>
    <row r="109" spans="2:21">
      <c r="B109" s="71" t="s">
        <v>700</v>
      </c>
      <c r="C109" s="71"/>
      <c r="D109" s="71"/>
      <c r="E109" s="71"/>
      <c r="F109" s="71"/>
      <c r="G109" s="71"/>
      <c r="H109" s="71"/>
      <c r="I109" s="71"/>
      <c r="J109" s="71"/>
      <c r="K109" s="71"/>
      <c r="L109" s="71"/>
      <c r="M109" s="71"/>
      <c r="N109" s="71"/>
      <c r="O109" s="71"/>
      <c r="P109" s="71"/>
      <c r="Q109" s="71"/>
      <c r="R109" s="71"/>
      <c r="T109" s="274">
        <f>Summary!T7</f>
        <v>29</v>
      </c>
      <c r="U109" s="274"/>
    </row>
    <row r="110" spans="2:21">
      <c r="B110" s="71"/>
      <c r="C110" s="71"/>
      <c r="D110" s="71"/>
      <c r="E110" s="71"/>
      <c r="F110" s="71"/>
      <c r="G110" s="71"/>
      <c r="H110" s="71"/>
      <c r="I110" s="71"/>
      <c r="J110" s="71"/>
      <c r="K110" s="71"/>
      <c r="L110" s="71"/>
      <c r="M110" s="71"/>
      <c r="N110" s="71"/>
      <c r="O110" s="71"/>
      <c r="P110" s="71"/>
      <c r="Q110" s="71"/>
      <c r="R110" s="71"/>
    </row>
    <row r="132" spans="1:22" ht="15" thickBot="1"/>
    <row r="133" spans="1:22" ht="15" customHeight="1">
      <c r="A133" s="229"/>
      <c r="B133" s="230"/>
      <c r="C133" s="230"/>
      <c r="D133" s="230"/>
      <c r="E133" s="231"/>
      <c r="F133" s="158" t="s">
        <v>886</v>
      </c>
      <c r="G133" s="159"/>
      <c r="H133" s="159"/>
      <c r="I133" s="159"/>
      <c r="J133" s="159"/>
      <c r="K133" s="159"/>
      <c r="L133" s="159"/>
      <c r="M133" s="159"/>
      <c r="N133" s="159"/>
      <c r="O133" s="159"/>
      <c r="P133" s="159"/>
      <c r="Q133" s="160"/>
      <c r="R133" s="238"/>
      <c r="S133" s="238"/>
      <c r="T133" s="238"/>
      <c r="U133" s="238"/>
      <c r="V133" s="239"/>
    </row>
    <row r="134" spans="1:22">
      <c r="A134" s="232"/>
      <c r="B134" s="233"/>
      <c r="C134" s="233"/>
      <c r="D134" s="233"/>
      <c r="E134" s="234"/>
      <c r="F134" s="161"/>
      <c r="G134" s="162"/>
      <c r="H134" s="162"/>
      <c r="I134" s="162"/>
      <c r="J134" s="162"/>
      <c r="K134" s="162"/>
      <c r="L134" s="162"/>
      <c r="M134" s="162"/>
      <c r="N134" s="162"/>
      <c r="O134" s="162"/>
      <c r="P134" s="162"/>
      <c r="Q134" s="163"/>
      <c r="R134" s="177"/>
      <c r="S134" s="177"/>
      <c r="T134" s="177"/>
      <c r="U134" s="177"/>
      <c r="V134" s="240"/>
    </row>
    <row r="135" spans="1:22">
      <c r="A135" s="232"/>
      <c r="B135" s="233"/>
      <c r="C135" s="233"/>
      <c r="D135" s="233"/>
      <c r="E135" s="234"/>
      <c r="F135" s="161"/>
      <c r="G135" s="162"/>
      <c r="H135" s="162"/>
      <c r="I135" s="162"/>
      <c r="J135" s="162"/>
      <c r="K135" s="162"/>
      <c r="L135" s="162"/>
      <c r="M135" s="162"/>
      <c r="N135" s="162"/>
      <c r="O135" s="162"/>
      <c r="P135" s="162"/>
      <c r="Q135" s="163"/>
      <c r="R135" s="177"/>
      <c r="S135" s="177"/>
      <c r="T135" s="177"/>
      <c r="U135" s="177"/>
      <c r="V135" s="240"/>
    </row>
    <row r="136" spans="1:22">
      <c r="A136" s="232"/>
      <c r="B136" s="233"/>
      <c r="C136" s="233"/>
      <c r="D136" s="233"/>
      <c r="E136" s="234"/>
      <c r="F136" s="161"/>
      <c r="G136" s="162"/>
      <c r="H136" s="162"/>
      <c r="I136" s="162"/>
      <c r="J136" s="162"/>
      <c r="K136" s="162"/>
      <c r="L136" s="162"/>
      <c r="M136" s="162"/>
      <c r="N136" s="162"/>
      <c r="O136" s="162"/>
      <c r="P136" s="162"/>
      <c r="Q136" s="163"/>
      <c r="R136" s="177"/>
      <c r="S136" s="177"/>
      <c r="T136" s="177"/>
      <c r="U136" s="177"/>
      <c r="V136" s="240"/>
    </row>
    <row r="137" spans="1:22">
      <c r="A137" s="232"/>
      <c r="B137" s="233"/>
      <c r="C137" s="233"/>
      <c r="D137" s="233"/>
      <c r="E137" s="234"/>
      <c r="F137" s="164"/>
      <c r="G137" s="165"/>
      <c r="H137" s="165"/>
      <c r="I137" s="165"/>
      <c r="J137" s="165"/>
      <c r="K137" s="165"/>
      <c r="L137" s="165"/>
      <c r="M137" s="165"/>
      <c r="N137" s="165"/>
      <c r="O137" s="165"/>
      <c r="P137" s="165"/>
      <c r="Q137" s="166"/>
      <c r="R137" s="177"/>
      <c r="S137" s="177"/>
      <c r="T137" s="177"/>
      <c r="U137" s="177"/>
      <c r="V137" s="240"/>
    </row>
    <row r="138" spans="1:22" ht="20.45" customHeight="1">
      <c r="A138" s="235"/>
      <c r="B138" s="236"/>
      <c r="C138" s="236"/>
      <c r="D138" s="236"/>
      <c r="E138" s="237"/>
      <c r="F138" s="265" t="str">
        <f>F90</f>
        <v>Mechanical Calculation Book For Fire Water Tanks (TK-2301A/B)</v>
      </c>
      <c r="G138" s="266"/>
      <c r="H138" s="266"/>
      <c r="I138" s="266"/>
      <c r="J138" s="266"/>
      <c r="K138" s="266"/>
      <c r="L138" s="266"/>
      <c r="M138" s="266"/>
      <c r="N138" s="266"/>
      <c r="O138" s="266"/>
      <c r="P138" s="266"/>
      <c r="Q138" s="267"/>
      <c r="R138" s="177"/>
      <c r="S138" s="177"/>
      <c r="T138" s="177"/>
      <c r="U138" s="177"/>
      <c r="V138" s="240"/>
    </row>
    <row r="139" spans="1:22" ht="23.45" customHeight="1">
      <c r="A139" s="167" t="s">
        <v>743</v>
      </c>
      <c r="B139" s="168"/>
      <c r="C139" s="168"/>
      <c r="D139" s="168"/>
      <c r="E139" s="169"/>
      <c r="F139" s="125" t="s">
        <v>744</v>
      </c>
      <c r="G139" s="170" t="s">
        <v>745</v>
      </c>
      <c r="H139" s="171"/>
      <c r="I139" s="170" t="s">
        <v>746</v>
      </c>
      <c r="J139" s="171"/>
      <c r="K139" s="170" t="s">
        <v>747</v>
      </c>
      <c r="L139" s="171"/>
      <c r="M139" s="125" t="s">
        <v>748</v>
      </c>
      <c r="N139" s="170" t="s">
        <v>749</v>
      </c>
      <c r="O139" s="171"/>
      <c r="P139" s="125" t="s">
        <v>750</v>
      </c>
      <c r="Q139" s="126" t="s">
        <v>751</v>
      </c>
      <c r="R139" s="172">
        <f>R91</f>
        <v>29</v>
      </c>
      <c r="S139" s="174" t="s">
        <v>752</v>
      </c>
      <c r="T139" s="263">
        <f>T91+1</f>
        <v>4</v>
      </c>
      <c r="U139" s="168" t="s">
        <v>753</v>
      </c>
      <c r="V139" s="188"/>
    </row>
    <row r="140" spans="1:22" ht="23.45" customHeight="1" thickBot="1">
      <c r="A140" s="191" t="s">
        <v>754</v>
      </c>
      <c r="B140" s="175"/>
      <c r="C140" s="175"/>
      <c r="D140" s="175"/>
      <c r="E140" s="192"/>
      <c r="F140" s="132" t="s">
        <v>755</v>
      </c>
      <c r="G140" s="193" t="s">
        <v>756</v>
      </c>
      <c r="H140" s="193"/>
      <c r="I140" s="193" t="s">
        <v>878</v>
      </c>
      <c r="J140" s="193"/>
      <c r="K140" s="193">
        <v>120</v>
      </c>
      <c r="L140" s="193"/>
      <c r="M140" s="132" t="s">
        <v>757</v>
      </c>
      <c r="N140" s="193" t="s">
        <v>879</v>
      </c>
      <c r="O140" s="193"/>
      <c r="P140" s="142" t="s">
        <v>881</v>
      </c>
      <c r="Q140" s="133" t="str">
        <f>Q92</f>
        <v>V01</v>
      </c>
      <c r="R140" s="173"/>
      <c r="S140" s="175"/>
      <c r="T140" s="264"/>
      <c r="U140" s="189"/>
      <c r="V140" s="190"/>
    </row>
    <row r="141" spans="1:22" ht="15">
      <c r="B141" s="269" t="s">
        <v>2</v>
      </c>
      <c r="C141" s="269"/>
      <c r="D141" s="269"/>
      <c r="E141" s="269"/>
      <c r="F141" s="269"/>
      <c r="G141" s="269"/>
      <c r="H141" s="30"/>
      <c r="I141" s="30"/>
      <c r="J141" s="30"/>
      <c r="K141" s="30"/>
      <c r="L141" s="30"/>
      <c r="M141" s="30"/>
      <c r="N141" s="30"/>
      <c r="O141" s="30"/>
      <c r="P141" s="30"/>
      <c r="Q141" s="30"/>
      <c r="R141" s="30"/>
      <c r="S141" s="30"/>
    </row>
    <row r="142" spans="1:22" ht="15">
      <c r="B142" s="269"/>
      <c r="C142" s="269"/>
      <c r="D142" s="269"/>
      <c r="E142" s="269"/>
      <c r="F142" s="269"/>
      <c r="G142" s="269"/>
      <c r="H142" s="30"/>
      <c r="I142" s="30"/>
      <c r="J142" s="30"/>
      <c r="K142" s="30"/>
      <c r="L142" s="30"/>
      <c r="M142" s="30"/>
      <c r="N142" s="30"/>
      <c r="O142" s="30"/>
      <c r="P142" s="30"/>
      <c r="Q142" s="30"/>
      <c r="R142" s="30"/>
      <c r="S142" s="30"/>
    </row>
    <row r="143" spans="1:22" ht="15">
      <c r="B143" s="30"/>
      <c r="C143" s="30"/>
      <c r="D143" s="30"/>
      <c r="E143" s="30"/>
      <c r="F143" s="30"/>
      <c r="G143" s="30"/>
      <c r="H143" s="30"/>
      <c r="I143" s="30"/>
      <c r="J143" s="30"/>
      <c r="K143" s="30"/>
      <c r="L143" s="30"/>
      <c r="M143" s="30"/>
      <c r="N143" s="30"/>
      <c r="O143" s="30"/>
      <c r="P143" s="30"/>
      <c r="Q143" s="30"/>
      <c r="R143" s="30"/>
      <c r="S143" s="30"/>
    </row>
    <row r="144" spans="1:22">
      <c r="B144" s="194" t="s">
        <v>3</v>
      </c>
      <c r="C144" s="194"/>
      <c r="D144" s="194"/>
      <c r="E144" s="194"/>
      <c r="F144" s="194"/>
      <c r="G144" s="194"/>
      <c r="H144" s="194" t="s">
        <v>4</v>
      </c>
      <c r="I144" s="194"/>
      <c r="J144" s="194"/>
      <c r="K144" s="194"/>
      <c r="L144" s="194"/>
      <c r="M144" s="194"/>
      <c r="N144" s="194"/>
      <c r="O144" s="194"/>
      <c r="P144" s="194" t="s">
        <v>5</v>
      </c>
      <c r="Q144" s="194"/>
      <c r="R144" s="194"/>
      <c r="S144" s="194"/>
    </row>
    <row r="145" spans="2:30">
      <c r="B145" s="194"/>
      <c r="C145" s="194"/>
      <c r="D145" s="194"/>
      <c r="E145" s="194"/>
      <c r="F145" s="194"/>
      <c r="G145" s="194"/>
      <c r="H145" s="194"/>
      <c r="I145" s="194"/>
      <c r="J145" s="194"/>
      <c r="K145" s="194"/>
      <c r="L145" s="194"/>
      <c r="M145" s="194"/>
      <c r="N145" s="194"/>
      <c r="O145" s="194"/>
      <c r="P145" s="194"/>
      <c r="Q145" s="194"/>
      <c r="R145" s="194"/>
      <c r="S145" s="194"/>
    </row>
    <row r="146" spans="2:30" ht="15">
      <c r="B146" s="177" t="s">
        <v>6</v>
      </c>
      <c r="C146" s="177"/>
      <c r="D146" s="177"/>
      <c r="E146" s="177"/>
      <c r="F146" s="177"/>
      <c r="G146" s="177"/>
      <c r="H146" s="268" t="s">
        <v>772</v>
      </c>
      <c r="I146" s="268"/>
      <c r="J146" s="268"/>
      <c r="K146" s="268"/>
      <c r="L146" s="268"/>
      <c r="M146" s="268"/>
      <c r="N146" s="268"/>
      <c r="O146" s="268"/>
      <c r="P146" s="186"/>
      <c r="Q146" s="186"/>
      <c r="R146" s="186"/>
      <c r="S146" s="186"/>
    </row>
    <row r="147" spans="2:30" ht="15">
      <c r="B147" s="177" t="s">
        <v>7</v>
      </c>
      <c r="C147" s="177"/>
      <c r="D147" s="177"/>
      <c r="E147" s="177"/>
      <c r="F147" s="177"/>
      <c r="G147" s="177"/>
      <c r="H147" s="176" t="s">
        <v>773</v>
      </c>
      <c r="I147" s="176"/>
      <c r="J147" s="176"/>
      <c r="K147" s="176"/>
      <c r="L147" s="176"/>
      <c r="M147" s="176"/>
      <c r="N147" s="176"/>
      <c r="O147" s="176"/>
      <c r="P147" s="186"/>
      <c r="Q147" s="186"/>
      <c r="R147" s="186"/>
      <c r="S147" s="186"/>
    </row>
    <row r="148" spans="2:30" ht="15">
      <c r="B148" s="177" t="s">
        <v>8</v>
      </c>
      <c r="C148" s="177"/>
      <c r="D148" s="177"/>
      <c r="E148" s="177"/>
      <c r="F148" s="177"/>
      <c r="G148" s="177"/>
      <c r="H148" s="176" t="s">
        <v>445</v>
      </c>
      <c r="I148" s="176"/>
      <c r="J148" s="176"/>
      <c r="K148" s="176"/>
      <c r="L148" s="176"/>
      <c r="M148" s="176"/>
      <c r="N148" s="176"/>
      <c r="O148" s="176"/>
      <c r="P148" s="186"/>
      <c r="Q148" s="186"/>
      <c r="R148" s="186"/>
      <c r="S148" s="186"/>
    </row>
    <row r="149" spans="2:30" ht="18" customHeight="1">
      <c r="B149" s="186" t="s">
        <v>9</v>
      </c>
      <c r="C149" s="186"/>
      <c r="D149" s="186"/>
      <c r="E149" s="186"/>
      <c r="F149" s="186"/>
      <c r="G149" s="186"/>
      <c r="H149" s="247" t="s">
        <v>722</v>
      </c>
      <c r="I149" s="247"/>
      <c r="J149" s="247"/>
      <c r="K149" s="247"/>
      <c r="L149" s="247"/>
      <c r="M149" s="247"/>
      <c r="N149" s="247"/>
      <c r="O149" s="247"/>
      <c r="P149" s="186"/>
      <c r="Q149" s="186"/>
      <c r="R149" s="186"/>
      <c r="S149" s="186"/>
      <c r="T149" s="60"/>
    </row>
    <row r="150" spans="2:30" ht="13.5" customHeight="1">
      <c r="B150" s="172" t="s">
        <v>33</v>
      </c>
      <c r="C150" s="174"/>
      <c r="D150" s="174"/>
      <c r="E150" s="174"/>
      <c r="F150" s="174"/>
      <c r="G150" s="283"/>
      <c r="H150" s="287" t="s">
        <v>633</v>
      </c>
      <c r="I150" s="288"/>
      <c r="J150" s="288"/>
      <c r="K150" s="288" t="s">
        <v>775</v>
      </c>
      <c r="L150" s="288"/>
      <c r="M150" s="288"/>
      <c r="N150" s="288"/>
      <c r="O150" s="291"/>
      <c r="P150" s="172"/>
      <c r="Q150" s="174"/>
      <c r="R150" s="174"/>
      <c r="S150" s="283"/>
      <c r="T150" s="60"/>
    </row>
    <row r="151" spans="2:30" ht="16.5" customHeight="1">
      <c r="B151" s="284"/>
      <c r="C151" s="285"/>
      <c r="D151" s="285"/>
      <c r="E151" s="285"/>
      <c r="F151" s="285"/>
      <c r="G151" s="286"/>
      <c r="H151" s="289"/>
      <c r="I151" s="290"/>
      <c r="J151" s="290"/>
      <c r="K151" s="290"/>
      <c r="L151" s="290"/>
      <c r="M151" s="290"/>
      <c r="N151" s="290"/>
      <c r="O151" s="292"/>
      <c r="P151" s="284"/>
      <c r="Q151" s="285"/>
      <c r="R151" s="285"/>
      <c r="S151" s="286"/>
    </row>
    <row r="152" spans="2:30" ht="15">
      <c r="B152" s="177" t="s">
        <v>10</v>
      </c>
      <c r="C152" s="177"/>
      <c r="D152" s="177"/>
      <c r="E152" s="177"/>
      <c r="F152" s="177"/>
      <c r="G152" s="177"/>
      <c r="H152" s="176" t="s">
        <v>774</v>
      </c>
      <c r="I152" s="176"/>
      <c r="J152" s="176"/>
      <c r="K152" s="176"/>
      <c r="L152" s="176"/>
      <c r="M152" s="176"/>
      <c r="N152" s="176"/>
      <c r="O152" s="176"/>
      <c r="P152" s="186"/>
      <c r="Q152" s="186"/>
      <c r="R152" s="186"/>
      <c r="S152" s="186"/>
      <c r="T152" s="60"/>
      <c r="Z152" s="13"/>
    </row>
    <row r="153" spans="2:30" ht="15">
      <c r="B153" s="177" t="s">
        <v>11</v>
      </c>
      <c r="C153" s="177"/>
      <c r="D153" s="177"/>
      <c r="E153" s="177"/>
      <c r="F153" s="177"/>
      <c r="G153" s="177"/>
      <c r="H153" s="176">
        <v>13000</v>
      </c>
      <c r="I153" s="176"/>
      <c r="J153" s="176"/>
      <c r="K153" s="176"/>
      <c r="L153" s="176"/>
      <c r="M153" s="176"/>
      <c r="N153" s="176"/>
      <c r="O153" s="176"/>
      <c r="P153" s="177" t="s">
        <v>29</v>
      </c>
      <c r="Q153" s="177"/>
      <c r="R153" s="177"/>
      <c r="S153" s="177"/>
      <c r="Z153" s="13"/>
      <c r="AD153" s="13"/>
    </row>
    <row r="154" spans="2:30" ht="15">
      <c r="B154" s="177" t="s">
        <v>12</v>
      </c>
      <c r="C154" s="177"/>
      <c r="D154" s="177"/>
      <c r="E154" s="177"/>
      <c r="F154" s="177"/>
      <c r="G154" s="177"/>
      <c r="H154" s="176">
        <v>9500</v>
      </c>
      <c r="I154" s="176"/>
      <c r="J154" s="176"/>
      <c r="K154" s="176"/>
      <c r="L154" s="176"/>
      <c r="M154" s="176"/>
      <c r="N154" s="176"/>
      <c r="O154" s="176"/>
      <c r="P154" s="177" t="s">
        <v>29</v>
      </c>
      <c r="Q154" s="177"/>
      <c r="R154" s="177"/>
      <c r="S154" s="177"/>
      <c r="T154" s="60"/>
      <c r="Z154" s="13"/>
    </row>
    <row r="155" spans="2:30" ht="15">
      <c r="B155" s="183" t="s">
        <v>675</v>
      </c>
      <c r="C155" s="184"/>
      <c r="D155" s="184"/>
      <c r="E155" s="184"/>
      <c r="F155" s="184"/>
      <c r="G155" s="185"/>
      <c r="H155" s="176">
        <v>8500</v>
      </c>
      <c r="I155" s="176"/>
      <c r="J155" s="176"/>
      <c r="K155" s="176"/>
      <c r="L155" s="176"/>
      <c r="M155" s="176"/>
      <c r="N155" s="176"/>
      <c r="O155" s="176"/>
      <c r="P155" s="177" t="s">
        <v>29</v>
      </c>
      <c r="Q155" s="177"/>
      <c r="R155" s="177"/>
      <c r="S155" s="177"/>
      <c r="T155" s="60"/>
      <c r="Z155" s="13"/>
    </row>
    <row r="156" spans="2:30" ht="15">
      <c r="B156" s="183" t="s">
        <v>443</v>
      </c>
      <c r="C156" s="184"/>
      <c r="D156" s="184"/>
      <c r="E156" s="184"/>
      <c r="F156" s="184"/>
      <c r="G156" s="185"/>
      <c r="H156" s="176">
        <v>850</v>
      </c>
      <c r="I156" s="176"/>
      <c r="J156" s="176"/>
      <c r="K156" s="176"/>
      <c r="L156" s="176"/>
      <c r="M156" s="176"/>
      <c r="N156" s="176"/>
      <c r="O156" s="176"/>
      <c r="P156" s="177" t="s">
        <v>29</v>
      </c>
      <c r="Q156" s="177"/>
      <c r="R156" s="177"/>
      <c r="S156" s="177"/>
      <c r="T156" s="60"/>
    </row>
    <row r="157" spans="2:30" ht="15">
      <c r="B157" s="183" t="s">
        <v>14</v>
      </c>
      <c r="C157" s="184"/>
      <c r="D157" s="184"/>
      <c r="E157" s="184"/>
      <c r="F157" s="184"/>
      <c r="G157" s="185"/>
      <c r="H157" s="178">
        <v>1260</v>
      </c>
      <c r="I157" s="178"/>
      <c r="J157" s="178"/>
      <c r="K157" s="178"/>
      <c r="L157" s="178"/>
      <c r="M157" s="178"/>
      <c r="N157" s="178"/>
      <c r="O157" s="178"/>
      <c r="P157" s="177" t="s">
        <v>441</v>
      </c>
      <c r="Q157" s="177"/>
      <c r="R157" s="177"/>
      <c r="S157" s="177"/>
      <c r="T157" s="60"/>
    </row>
    <row r="158" spans="2:30" ht="15">
      <c r="B158" s="177" t="s">
        <v>13</v>
      </c>
      <c r="C158" s="177"/>
      <c r="D158" s="177"/>
      <c r="E158" s="177"/>
      <c r="F158" s="177"/>
      <c r="G158" s="177"/>
      <c r="H158" s="187">
        <v>1040</v>
      </c>
      <c r="I158" s="187"/>
      <c r="J158" s="187"/>
      <c r="K158" s="187"/>
      <c r="L158" s="187"/>
      <c r="M158" s="187"/>
      <c r="N158" s="187"/>
      <c r="O158" s="187"/>
      <c r="P158" s="177" t="s">
        <v>441</v>
      </c>
      <c r="Q158" s="177"/>
      <c r="R158" s="177"/>
      <c r="S158" s="177"/>
      <c r="T158" s="60"/>
    </row>
    <row r="159" spans="2:30" ht="15">
      <c r="B159" s="241" t="s">
        <v>15</v>
      </c>
      <c r="C159" s="242"/>
      <c r="D159" s="243"/>
      <c r="E159" s="183" t="s">
        <v>646</v>
      </c>
      <c r="F159" s="184"/>
      <c r="G159" s="185"/>
      <c r="H159" s="176">
        <v>0</v>
      </c>
      <c r="I159" s="176"/>
      <c r="J159" s="176"/>
      <c r="K159" s="176"/>
      <c r="L159" s="176"/>
      <c r="M159" s="176"/>
      <c r="N159" s="176"/>
      <c r="O159" s="176"/>
      <c r="P159" s="177" t="s">
        <v>447</v>
      </c>
      <c r="Q159" s="177"/>
      <c r="R159" s="177"/>
      <c r="S159" s="177"/>
    </row>
    <row r="160" spans="2:30" ht="15">
      <c r="B160" s="244"/>
      <c r="C160" s="245"/>
      <c r="D160" s="246"/>
      <c r="E160" s="183" t="s">
        <v>647</v>
      </c>
      <c r="F160" s="184"/>
      <c r="G160" s="185"/>
      <c r="H160" s="180">
        <v>0</v>
      </c>
      <c r="I160" s="181"/>
      <c r="J160" s="181"/>
      <c r="K160" s="181"/>
      <c r="L160" s="181"/>
      <c r="M160" s="181"/>
      <c r="N160" s="181"/>
      <c r="O160" s="182"/>
      <c r="P160" s="177" t="s">
        <v>447</v>
      </c>
      <c r="Q160" s="177"/>
      <c r="R160" s="177"/>
      <c r="S160" s="177"/>
    </row>
    <row r="161" spans="2:20" ht="15">
      <c r="B161" s="293" t="s">
        <v>676</v>
      </c>
      <c r="C161" s="294"/>
      <c r="D161" s="294"/>
      <c r="E161" s="294"/>
      <c r="F161" s="294"/>
      <c r="G161" s="295"/>
      <c r="H161" s="180" t="s">
        <v>776</v>
      </c>
      <c r="I161" s="181"/>
      <c r="J161" s="181"/>
      <c r="K161" s="181"/>
      <c r="L161" s="181"/>
      <c r="M161" s="181"/>
      <c r="N161" s="181"/>
      <c r="O161" s="182"/>
      <c r="P161" s="177" t="s">
        <v>29</v>
      </c>
      <c r="Q161" s="177"/>
      <c r="R161" s="177"/>
      <c r="S161" s="177"/>
    </row>
    <row r="162" spans="2:20" ht="15">
      <c r="B162" s="177" t="s">
        <v>16</v>
      </c>
      <c r="C162" s="177"/>
      <c r="D162" s="177"/>
      <c r="E162" s="177"/>
      <c r="F162" s="177"/>
      <c r="G162" s="177"/>
      <c r="H162" s="176">
        <v>85</v>
      </c>
      <c r="I162" s="176"/>
      <c r="J162" s="176"/>
      <c r="K162" s="176"/>
      <c r="L162" s="176"/>
      <c r="M162" s="176"/>
      <c r="N162" s="176"/>
      <c r="O162" s="176"/>
      <c r="P162" s="177" t="s">
        <v>444</v>
      </c>
      <c r="Q162" s="177"/>
      <c r="R162" s="177"/>
      <c r="S162" s="177"/>
    </row>
    <row r="163" spans="2:20" ht="15">
      <c r="B163" s="183" t="s">
        <v>677</v>
      </c>
      <c r="C163" s="184"/>
      <c r="D163" s="184"/>
      <c r="E163" s="184"/>
      <c r="F163" s="184"/>
      <c r="G163" s="185"/>
      <c r="H163" s="180" t="s">
        <v>777</v>
      </c>
      <c r="I163" s="181"/>
      <c r="J163" s="181"/>
      <c r="K163" s="181"/>
      <c r="L163" s="181"/>
      <c r="M163" s="181"/>
      <c r="N163" s="181"/>
      <c r="O163" s="182"/>
      <c r="P163" s="177" t="s">
        <v>444</v>
      </c>
      <c r="Q163" s="177"/>
      <c r="R163" s="177"/>
      <c r="S163" s="177"/>
    </row>
    <row r="164" spans="2:20" ht="15">
      <c r="B164" s="177" t="s">
        <v>678</v>
      </c>
      <c r="C164" s="177"/>
      <c r="D164" s="177"/>
      <c r="E164" s="177"/>
      <c r="F164" s="177"/>
      <c r="G164" s="177"/>
      <c r="H164" s="176" t="s">
        <v>777</v>
      </c>
      <c r="I164" s="176"/>
      <c r="J164" s="176"/>
      <c r="K164" s="176"/>
      <c r="L164" s="176"/>
      <c r="M164" s="176"/>
      <c r="N164" s="176"/>
      <c r="O164" s="176"/>
      <c r="P164" s="177" t="s">
        <v>444</v>
      </c>
      <c r="Q164" s="177"/>
      <c r="R164" s="177"/>
      <c r="S164" s="177"/>
    </row>
    <row r="165" spans="2:20" ht="15">
      <c r="B165" s="177" t="s">
        <v>17</v>
      </c>
      <c r="C165" s="177"/>
      <c r="D165" s="177"/>
      <c r="E165" s="177"/>
      <c r="F165" s="177"/>
      <c r="G165" s="177"/>
      <c r="H165" s="176">
        <v>1</v>
      </c>
      <c r="I165" s="176"/>
      <c r="J165" s="176"/>
      <c r="K165" s="176"/>
      <c r="L165" s="176"/>
      <c r="M165" s="176"/>
      <c r="N165" s="176"/>
      <c r="O165" s="176"/>
      <c r="P165" s="177"/>
      <c r="Q165" s="177"/>
      <c r="R165" s="177"/>
      <c r="S165" s="177"/>
      <c r="T165" s="60"/>
    </row>
    <row r="166" spans="2:20" ht="15">
      <c r="B166" s="186" t="s">
        <v>18</v>
      </c>
      <c r="C166" s="186"/>
      <c r="D166" s="186"/>
      <c r="E166" s="186"/>
      <c r="F166" s="186" t="s">
        <v>19</v>
      </c>
      <c r="G166" s="186"/>
      <c r="H166" s="176">
        <v>1.6</v>
      </c>
      <c r="I166" s="176"/>
      <c r="J166" s="176"/>
      <c r="K166" s="176"/>
      <c r="L166" s="176"/>
      <c r="M166" s="176"/>
      <c r="N166" s="176"/>
      <c r="O166" s="176"/>
      <c r="P166" s="177" t="s">
        <v>29</v>
      </c>
      <c r="Q166" s="177"/>
      <c r="R166" s="177"/>
      <c r="S166" s="177"/>
    </row>
    <row r="167" spans="2:20" ht="15">
      <c r="B167" s="186"/>
      <c r="C167" s="186"/>
      <c r="D167" s="186"/>
      <c r="E167" s="186"/>
      <c r="F167" s="186" t="s">
        <v>20</v>
      </c>
      <c r="G167" s="186"/>
      <c r="H167" s="176">
        <v>1.6</v>
      </c>
      <c r="I167" s="176"/>
      <c r="J167" s="176"/>
      <c r="K167" s="176"/>
      <c r="L167" s="176"/>
      <c r="M167" s="176"/>
      <c r="N167" s="176"/>
      <c r="O167" s="176"/>
      <c r="P167" s="177" t="s">
        <v>29</v>
      </c>
      <c r="Q167" s="177"/>
      <c r="R167" s="177"/>
      <c r="S167" s="177"/>
    </row>
    <row r="168" spans="2:20" ht="15">
      <c r="B168" s="186"/>
      <c r="C168" s="186"/>
      <c r="D168" s="186"/>
      <c r="E168" s="186"/>
      <c r="F168" s="186" t="s">
        <v>21</v>
      </c>
      <c r="G168" s="186"/>
      <c r="H168" s="176">
        <v>1.6</v>
      </c>
      <c r="I168" s="176"/>
      <c r="J168" s="176"/>
      <c r="K168" s="176"/>
      <c r="L168" s="176"/>
      <c r="M168" s="176"/>
      <c r="N168" s="176"/>
      <c r="O168" s="176"/>
      <c r="P168" s="177" t="s">
        <v>29</v>
      </c>
      <c r="Q168" s="177"/>
      <c r="R168" s="177"/>
      <c r="S168" s="177"/>
    </row>
    <row r="169" spans="2:20" ht="15">
      <c r="B169" s="170" t="s">
        <v>645</v>
      </c>
      <c r="C169" s="179"/>
      <c r="D169" s="179"/>
      <c r="E169" s="179"/>
      <c r="F169" s="179"/>
      <c r="G169" s="171"/>
      <c r="H169" s="180" t="s">
        <v>438</v>
      </c>
      <c r="I169" s="181"/>
      <c r="J169" s="181"/>
      <c r="K169" s="181"/>
      <c r="L169" s="181"/>
      <c r="M169" s="181"/>
      <c r="N169" s="181"/>
      <c r="O169" s="182"/>
      <c r="P169" s="183"/>
      <c r="Q169" s="184"/>
      <c r="R169" s="184"/>
      <c r="S169" s="185"/>
    </row>
    <row r="170" spans="2:20" ht="15">
      <c r="B170" s="177" t="s">
        <v>22</v>
      </c>
      <c r="C170" s="177"/>
      <c r="D170" s="177"/>
      <c r="E170" s="177"/>
      <c r="F170" s="177"/>
      <c r="G170" s="177"/>
      <c r="H170" s="178">
        <f>H171/1.2</f>
        <v>193.33333333333334</v>
      </c>
      <c r="I170" s="178"/>
      <c r="J170" s="178"/>
      <c r="K170" s="178"/>
      <c r="L170" s="178"/>
      <c r="M170" s="178"/>
      <c r="N170" s="178"/>
      <c r="O170" s="178"/>
      <c r="P170" s="177" t="s">
        <v>30</v>
      </c>
      <c r="Q170" s="177"/>
      <c r="R170" s="177"/>
      <c r="S170" s="177"/>
      <c r="T170" s="60"/>
    </row>
    <row r="171" spans="2:20" ht="15">
      <c r="B171" s="177" t="s">
        <v>23</v>
      </c>
      <c r="C171" s="177"/>
      <c r="D171" s="177"/>
      <c r="E171" s="177"/>
      <c r="F171" s="177"/>
      <c r="G171" s="177"/>
      <c r="H171" s="187">
        <v>232</v>
      </c>
      <c r="I171" s="187"/>
      <c r="J171" s="187"/>
      <c r="K171" s="187"/>
      <c r="L171" s="187"/>
      <c r="M171" s="187"/>
      <c r="N171" s="187"/>
      <c r="O171" s="187"/>
      <c r="P171" s="177" t="s">
        <v>30</v>
      </c>
      <c r="Q171" s="177"/>
      <c r="R171" s="177"/>
      <c r="S171" s="177"/>
      <c r="T171" s="60"/>
    </row>
    <row r="172" spans="2:20" ht="15">
      <c r="B172" s="177" t="s">
        <v>24</v>
      </c>
      <c r="C172" s="177"/>
      <c r="D172" s="177"/>
      <c r="E172" s="177"/>
      <c r="F172" s="177"/>
      <c r="G172" s="177"/>
      <c r="H172" s="176" t="s">
        <v>34</v>
      </c>
      <c r="I172" s="176"/>
      <c r="J172" s="176"/>
      <c r="K172" s="176"/>
      <c r="L172" s="176"/>
      <c r="M172" s="176"/>
      <c r="N172" s="176"/>
      <c r="O172" s="176"/>
      <c r="P172" s="177"/>
      <c r="Q172" s="177"/>
      <c r="R172" s="177"/>
      <c r="S172" s="177"/>
      <c r="T172" s="60"/>
    </row>
    <row r="173" spans="2:20" ht="15">
      <c r="B173" s="177" t="s">
        <v>25</v>
      </c>
      <c r="C173" s="177"/>
      <c r="D173" s="177"/>
      <c r="E173" s="177"/>
      <c r="F173" s="177"/>
      <c r="G173" s="177"/>
      <c r="H173" s="176" t="s">
        <v>778</v>
      </c>
      <c r="I173" s="176"/>
      <c r="J173" s="176"/>
      <c r="K173" s="176"/>
      <c r="L173" s="176"/>
      <c r="M173" s="176"/>
      <c r="N173" s="176"/>
      <c r="O173" s="176"/>
      <c r="P173" s="177"/>
      <c r="Q173" s="177"/>
      <c r="R173" s="177"/>
      <c r="S173" s="177"/>
      <c r="T173" s="60"/>
    </row>
    <row r="174" spans="2:20" ht="15">
      <c r="B174" s="177" t="s">
        <v>26</v>
      </c>
      <c r="C174" s="177"/>
      <c r="D174" s="177"/>
      <c r="E174" s="177"/>
      <c r="F174" s="177"/>
      <c r="G174" s="177"/>
      <c r="H174" s="176" t="s">
        <v>35</v>
      </c>
      <c r="I174" s="176"/>
      <c r="J174" s="176"/>
      <c r="K174" s="176"/>
      <c r="L174" s="176"/>
      <c r="M174" s="176"/>
      <c r="N174" s="176"/>
      <c r="O174" s="176"/>
      <c r="P174" s="177"/>
      <c r="Q174" s="177"/>
      <c r="R174" s="177"/>
      <c r="S174" s="177"/>
      <c r="T174" s="60"/>
    </row>
    <row r="175" spans="2:20" ht="15">
      <c r="B175" s="177" t="s">
        <v>27</v>
      </c>
      <c r="C175" s="177"/>
      <c r="D175" s="177"/>
      <c r="E175" s="177"/>
      <c r="F175" s="177"/>
      <c r="G175" s="177"/>
      <c r="H175" s="176" t="s">
        <v>779</v>
      </c>
      <c r="I175" s="176"/>
      <c r="J175" s="176"/>
      <c r="K175" s="176"/>
      <c r="L175" s="176"/>
      <c r="M175" s="176"/>
      <c r="N175" s="176"/>
      <c r="O175" s="176"/>
      <c r="P175" s="177"/>
      <c r="Q175" s="177"/>
      <c r="R175" s="177"/>
      <c r="S175" s="177"/>
      <c r="T175" s="60"/>
    </row>
    <row r="176" spans="2:20" ht="15">
      <c r="B176" s="177" t="s">
        <v>28</v>
      </c>
      <c r="C176" s="177"/>
      <c r="D176" s="177"/>
      <c r="E176" s="177"/>
      <c r="F176" s="177"/>
      <c r="G176" s="177"/>
      <c r="H176" s="176">
        <v>1.25</v>
      </c>
      <c r="I176" s="176"/>
      <c r="J176" s="176"/>
      <c r="K176" s="176"/>
      <c r="L176" s="176"/>
      <c r="M176" s="176"/>
      <c r="N176" s="176"/>
      <c r="O176" s="176"/>
      <c r="P176" s="177"/>
      <c r="Q176" s="177"/>
      <c r="R176" s="177"/>
      <c r="S176" s="177"/>
      <c r="T176" s="60"/>
    </row>
    <row r="177" spans="1:22" ht="15">
      <c r="B177" s="177" t="s">
        <v>714</v>
      </c>
      <c r="C177" s="177"/>
      <c r="D177" s="177"/>
      <c r="E177" s="177"/>
      <c r="F177" s="177"/>
      <c r="G177" s="177"/>
      <c r="H177" s="176">
        <v>1.125</v>
      </c>
      <c r="I177" s="176"/>
      <c r="J177" s="176"/>
      <c r="K177" s="176"/>
      <c r="L177" s="176"/>
      <c r="M177" s="176"/>
      <c r="N177" s="176"/>
      <c r="O177" s="176"/>
      <c r="P177" s="177"/>
      <c r="Q177" s="177"/>
      <c r="R177" s="177"/>
      <c r="S177" s="177"/>
      <c r="T177" s="60"/>
    </row>
    <row r="178" spans="1:22" ht="15">
      <c r="B178" s="177" t="s">
        <v>715</v>
      </c>
      <c r="C178" s="177"/>
      <c r="D178" s="177"/>
      <c r="E178" s="177"/>
      <c r="F178" s="177"/>
      <c r="G178" s="177"/>
      <c r="H178" s="176">
        <v>0.46</v>
      </c>
      <c r="I178" s="176"/>
      <c r="J178" s="176"/>
      <c r="K178" s="176"/>
      <c r="L178" s="176"/>
      <c r="M178" s="176"/>
      <c r="N178" s="176"/>
      <c r="O178" s="176"/>
      <c r="P178" s="177"/>
      <c r="Q178" s="177"/>
      <c r="R178" s="177"/>
      <c r="S178" s="177"/>
      <c r="T178" s="60"/>
    </row>
    <row r="179" spans="1:22" ht="15">
      <c r="B179" s="177" t="s">
        <v>723</v>
      </c>
      <c r="C179" s="177"/>
      <c r="D179" s="177"/>
      <c r="E179" s="177"/>
      <c r="F179" s="177"/>
      <c r="G179" s="177"/>
      <c r="H179" s="176">
        <v>1</v>
      </c>
      <c r="I179" s="176"/>
      <c r="J179" s="176"/>
      <c r="K179" s="176"/>
      <c r="L179" s="176"/>
      <c r="M179" s="176"/>
      <c r="N179" s="176"/>
      <c r="O179" s="176"/>
      <c r="P179" s="177"/>
      <c r="Q179" s="177"/>
      <c r="R179" s="177"/>
      <c r="S179" s="177"/>
      <c r="T179" s="60"/>
    </row>
    <row r="180" spans="1:22" ht="15">
      <c r="B180" s="177" t="s">
        <v>724</v>
      </c>
      <c r="C180" s="177"/>
      <c r="D180" s="177"/>
      <c r="E180" s="177"/>
      <c r="F180" s="177"/>
      <c r="G180" s="177"/>
      <c r="H180" s="176">
        <v>1.33</v>
      </c>
      <c r="I180" s="176"/>
      <c r="J180" s="176"/>
      <c r="K180" s="176"/>
      <c r="L180" s="176"/>
      <c r="M180" s="176"/>
      <c r="N180" s="176"/>
      <c r="O180" s="176"/>
      <c r="P180" s="177"/>
      <c r="Q180" s="177"/>
      <c r="R180" s="177"/>
      <c r="S180" s="177"/>
      <c r="T180" s="60"/>
    </row>
    <row r="181" spans="1:22" ht="15.75" thickBot="1">
      <c r="B181" s="33"/>
      <c r="C181" s="33"/>
      <c r="D181" s="33"/>
      <c r="E181" s="33"/>
      <c r="F181" s="33"/>
      <c r="G181" s="33"/>
      <c r="H181" s="131"/>
      <c r="I181" s="131"/>
      <c r="J181" s="131"/>
      <c r="K181" s="131"/>
      <c r="L181" s="131"/>
      <c r="M181" s="131"/>
      <c r="N181" s="131"/>
      <c r="O181" s="131"/>
      <c r="P181" s="33"/>
      <c r="Q181" s="33"/>
      <c r="R181" s="33"/>
      <c r="S181" s="33"/>
      <c r="T181" s="60"/>
    </row>
    <row r="182" spans="1:22" ht="15">
      <c r="B182" s="322" t="s">
        <v>740</v>
      </c>
      <c r="C182" s="238"/>
      <c r="D182" s="238"/>
      <c r="E182" s="238"/>
      <c r="F182" s="238"/>
      <c r="G182" s="238"/>
      <c r="H182" s="238"/>
      <c r="I182" s="238"/>
      <c r="J182" s="238"/>
      <c r="K182" s="238"/>
      <c r="L182" s="238"/>
      <c r="M182" s="238"/>
      <c r="N182" s="238"/>
      <c r="O182" s="238"/>
      <c r="P182" s="238"/>
      <c r="Q182" s="238"/>
      <c r="R182" s="238"/>
      <c r="S182" s="239"/>
      <c r="T182" s="60"/>
    </row>
    <row r="183" spans="1:22" ht="15.75" thickBot="1">
      <c r="B183" s="323" t="s">
        <v>741</v>
      </c>
      <c r="C183" s="324"/>
      <c r="D183" s="324"/>
      <c r="E183" s="324"/>
      <c r="F183" s="324"/>
      <c r="G183" s="324"/>
      <c r="H183" s="324"/>
      <c r="I183" s="324"/>
      <c r="J183" s="324"/>
      <c r="K183" s="324"/>
      <c r="L183" s="325" t="s">
        <v>742</v>
      </c>
      <c r="M183" s="325"/>
      <c r="N183" s="325"/>
      <c r="O183" s="325"/>
      <c r="P183" s="325"/>
      <c r="Q183" s="325"/>
      <c r="R183" s="325"/>
      <c r="S183" s="326"/>
      <c r="T183" s="60"/>
    </row>
    <row r="184" spans="1:22" ht="27.6" customHeight="1">
      <c r="B184" s="327" t="s">
        <v>882</v>
      </c>
      <c r="C184" s="328"/>
      <c r="D184" s="328"/>
      <c r="E184" s="328"/>
      <c r="F184" s="328"/>
      <c r="G184" s="328"/>
      <c r="H184" s="328"/>
      <c r="I184" s="328"/>
      <c r="J184" s="328"/>
      <c r="K184" s="328"/>
      <c r="L184" s="331" t="s">
        <v>883</v>
      </c>
      <c r="M184" s="331"/>
      <c r="N184" s="331"/>
      <c r="O184" s="331"/>
      <c r="P184" s="331"/>
      <c r="Q184" s="331"/>
      <c r="R184" s="331"/>
      <c r="S184" s="332"/>
      <c r="T184" s="60"/>
    </row>
    <row r="185" spans="1:22" ht="15">
      <c r="B185" s="329" t="s">
        <v>884</v>
      </c>
      <c r="C185" s="330"/>
      <c r="D185" s="330"/>
      <c r="E185" s="330"/>
      <c r="F185" s="330"/>
      <c r="G185" s="330"/>
      <c r="H185" s="330"/>
      <c r="I185" s="330"/>
      <c r="J185" s="330"/>
      <c r="K185" s="330"/>
      <c r="L185" s="331" t="s">
        <v>885</v>
      </c>
      <c r="M185" s="331"/>
      <c r="N185" s="331"/>
      <c r="O185" s="331"/>
      <c r="P185" s="331"/>
      <c r="Q185" s="331"/>
      <c r="R185" s="331"/>
      <c r="S185" s="332"/>
      <c r="T185" s="60"/>
    </row>
    <row r="186" spans="1:22" ht="15.75" thickBot="1">
      <c r="B186" s="323"/>
      <c r="C186" s="324"/>
      <c r="D186" s="324"/>
      <c r="E186" s="324"/>
      <c r="F186" s="324"/>
      <c r="G186" s="324"/>
      <c r="H186" s="324"/>
      <c r="I186" s="324"/>
      <c r="J186" s="324"/>
      <c r="K186" s="324"/>
      <c r="L186" s="325"/>
      <c r="M186" s="325"/>
      <c r="N186" s="325"/>
      <c r="O186" s="325"/>
      <c r="P186" s="325"/>
      <c r="Q186" s="325"/>
      <c r="R186" s="325"/>
      <c r="S186" s="326"/>
      <c r="T186" s="60"/>
    </row>
    <row r="187" spans="1:22" ht="15">
      <c r="B187" s="33"/>
      <c r="C187" s="33"/>
      <c r="D187" s="33"/>
      <c r="E187" s="33"/>
      <c r="F187" s="33"/>
      <c r="G187" s="33"/>
      <c r="H187" s="131"/>
      <c r="I187" s="131"/>
      <c r="J187" s="131"/>
      <c r="K187" s="131"/>
      <c r="L187" s="131"/>
      <c r="M187" s="131"/>
      <c r="N187" s="131"/>
      <c r="O187" s="131"/>
      <c r="P187" s="33"/>
      <c r="Q187" s="33"/>
      <c r="R187" s="33"/>
      <c r="S187" s="33"/>
      <c r="T187" s="60"/>
    </row>
    <row r="188" spans="1:22" ht="15">
      <c r="B188" s="33"/>
      <c r="C188" s="33"/>
      <c r="D188" s="33"/>
      <c r="E188" s="33"/>
      <c r="F188" s="33"/>
      <c r="G188" s="33"/>
      <c r="H188" s="131"/>
      <c r="I188" s="131"/>
      <c r="J188" s="131"/>
      <c r="K188" s="131"/>
      <c r="L188" s="131"/>
      <c r="M188" s="131"/>
      <c r="N188" s="131"/>
      <c r="O188" s="131"/>
      <c r="P188" s="33"/>
      <c r="Q188" s="33"/>
      <c r="R188" s="33"/>
      <c r="S188" s="33"/>
      <c r="T188" s="60"/>
    </row>
    <row r="189" spans="1:22" ht="15" customHeight="1" thickBot="1"/>
    <row r="190" spans="1:22" ht="15" customHeight="1">
      <c r="A190" s="254"/>
      <c r="B190" s="255"/>
      <c r="C190" s="255"/>
      <c r="D190" s="255"/>
      <c r="E190" s="256"/>
      <c r="F190" s="158" t="s">
        <v>886</v>
      </c>
      <c r="G190" s="159"/>
      <c r="H190" s="159"/>
      <c r="I190" s="159"/>
      <c r="J190" s="159"/>
      <c r="K190" s="159"/>
      <c r="L190" s="159"/>
      <c r="M190" s="159"/>
      <c r="N190" s="159"/>
      <c r="O190" s="159"/>
      <c r="P190" s="159"/>
      <c r="Q190" s="160"/>
      <c r="R190" s="238"/>
      <c r="S190" s="238"/>
      <c r="T190" s="238"/>
      <c r="U190" s="238"/>
      <c r="V190" s="239"/>
    </row>
    <row r="191" spans="1:22">
      <c r="A191" s="257"/>
      <c r="B191" s="258"/>
      <c r="C191" s="258"/>
      <c r="D191" s="258"/>
      <c r="E191" s="259"/>
      <c r="F191" s="161"/>
      <c r="G191" s="162"/>
      <c r="H191" s="162"/>
      <c r="I191" s="162"/>
      <c r="J191" s="162"/>
      <c r="K191" s="162"/>
      <c r="L191" s="162"/>
      <c r="M191" s="162"/>
      <c r="N191" s="162"/>
      <c r="O191" s="162"/>
      <c r="P191" s="162"/>
      <c r="Q191" s="163"/>
      <c r="R191" s="177"/>
      <c r="S191" s="177"/>
      <c r="T191" s="177"/>
      <c r="U191" s="177"/>
      <c r="V191" s="240"/>
    </row>
    <row r="192" spans="1:22">
      <c r="A192" s="257"/>
      <c r="B192" s="258"/>
      <c r="C192" s="258"/>
      <c r="D192" s="258"/>
      <c r="E192" s="259"/>
      <c r="F192" s="161"/>
      <c r="G192" s="162"/>
      <c r="H192" s="162"/>
      <c r="I192" s="162"/>
      <c r="J192" s="162"/>
      <c r="K192" s="162"/>
      <c r="L192" s="162"/>
      <c r="M192" s="162"/>
      <c r="N192" s="162"/>
      <c r="O192" s="162"/>
      <c r="P192" s="162"/>
      <c r="Q192" s="163"/>
      <c r="R192" s="177"/>
      <c r="S192" s="177"/>
      <c r="T192" s="177"/>
      <c r="U192" s="177"/>
      <c r="V192" s="240"/>
    </row>
    <row r="193" spans="1:22">
      <c r="A193" s="257"/>
      <c r="B193" s="258"/>
      <c r="C193" s="258"/>
      <c r="D193" s="258"/>
      <c r="E193" s="259"/>
      <c r="F193" s="161"/>
      <c r="G193" s="162"/>
      <c r="H193" s="162"/>
      <c r="I193" s="162"/>
      <c r="J193" s="162"/>
      <c r="K193" s="162"/>
      <c r="L193" s="162"/>
      <c r="M193" s="162"/>
      <c r="N193" s="162"/>
      <c r="O193" s="162"/>
      <c r="P193" s="162"/>
      <c r="Q193" s="163"/>
      <c r="R193" s="177"/>
      <c r="S193" s="177"/>
      <c r="T193" s="177"/>
      <c r="U193" s="177"/>
      <c r="V193" s="240"/>
    </row>
    <row r="194" spans="1:22">
      <c r="A194" s="257"/>
      <c r="B194" s="258"/>
      <c r="C194" s="258"/>
      <c r="D194" s="258"/>
      <c r="E194" s="259"/>
      <c r="F194" s="164"/>
      <c r="G194" s="165"/>
      <c r="H194" s="165"/>
      <c r="I194" s="165"/>
      <c r="J194" s="165"/>
      <c r="K194" s="165"/>
      <c r="L194" s="165"/>
      <c r="M194" s="165"/>
      <c r="N194" s="165"/>
      <c r="O194" s="165"/>
      <c r="P194" s="165"/>
      <c r="Q194" s="166"/>
      <c r="R194" s="177"/>
      <c r="S194" s="177"/>
      <c r="T194" s="177"/>
      <c r="U194" s="177"/>
      <c r="V194" s="240"/>
    </row>
    <row r="195" spans="1:22" ht="18.600000000000001" customHeight="1">
      <c r="A195" s="260"/>
      <c r="B195" s="261"/>
      <c r="C195" s="261"/>
      <c r="D195" s="261"/>
      <c r="E195" s="262"/>
      <c r="F195" s="265" t="str">
        <f>F138</f>
        <v>Mechanical Calculation Book For Fire Water Tanks (TK-2301A/B)</v>
      </c>
      <c r="G195" s="266"/>
      <c r="H195" s="266"/>
      <c r="I195" s="266"/>
      <c r="J195" s="266"/>
      <c r="K195" s="266"/>
      <c r="L195" s="266"/>
      <c r="M195" s="266"/>
      <c r="N195" s="266"/>
      <c r="O195" s="266"/>
      <c r="P195" s="266"/>
      <c r="Q195" s="267"/>
      <c r="R195" s="177"/>
      <c r="S195" s="177"/>
      <c r="T195" s="177"/>
      <c r="U195" s="177"/>
      <c r="V195" s="240"/>
    </row>
    <row r="196" spans="1:22" ht="16.899999999999999" customHeight="1">
      <c r="A196" s="167" t="s">
        <v>743</v>
      </c>
      <c r="B196" s="168"/>
      <c r="C196" s="168"/>
      <c r="D196" s="168"/>
      <c r="E196" s="169"/>
      <c r="F196" s="125" t="s">
        <v>744</v>
      </c>
      <c r="G196" s="170" t="s">
        <v>745</v>
      </c>
      <c r="H196" s="171"/>
      <c r="I196" s="170" t="s">
        <v>746</v>
      </c>
      <c r="J196" s="171"/>
      <c r="K196" s="170" t="s">
        <v>747</v>
      </c>
      <c r="L196" s="171"/>
      <c r="M196" s="125" t="s">
        <v>748</v>
      </c>
      <c r="N196" s="170" t="s">
        <v>749</v>
      </c>
      <c r="O196" s="171"/>
      <c r="P196" s="125" t="s">
        <v>750</v>
      </c>
      <c r="Q196" s="126" t="s">
        <v>751</v>
      </c>
      <c r="R196" s="172">
        <f>R139</f>
        <v>29</v>
      </c>
      <c r="S196" s="174" t="s">
        <v>752</v>
      </c>
      <c r="T196" s="263">
        <f>T139+1</f>
        <v>5</v>
      </c>
      <c r="U196" s="168" t="s">
        <v>753</v>
      </c>
      <c r="V196" s="188"/>
    </row>
    <row r="197" spans="1:22" ht="24.6" customHeight="1" thickBot="1">
      <c r="A197" s="191" t="s">
        <v>754</v>
      </c>
      <c r="B197" s="175"/>
      <c r="C197" s="175"/>
      <c r="D197" s="175"/>
      <c r="E197" s="192"/>
      <c r="F197" s="132" t="s">
        <v>755</v>
      </c>
      <c r="G197" s="193" t="s">
        <v>756</v>
      </c>
      <c r="H197" s="193"/>
      <c r="I197" s="193" t="s">
        <v>878</v>
      </c>
      <c r="J197" s="193"/>
      <c r="K197" s="193">
        <v>120</v>
      </c>
      <c r="L197" s="193"/>
      <c r="M197" s="132" t="s">
        <v>757</v>
      </c>
      <c r="N197" s="193" t="s">
        <v>879</v>
      </c>
      <c r="O197" s="193"/>
      <c r="P197" s="142" t="s">
        <v>881</v>
      </c>
      <c r="Q197" s="133" t="str">
        <f>Q140</f>
        <v>V01</v>
      </c>
      <c r="R197" s="173"/>
      <c r="S197" s="175"/>
      <c r="T197" s="264"/>
      <c r="U197" s="189"/>
      <c r="V197" s="190"/>
    </row>
    <row r="198" spans="1:22" ht="15">
      <c r="B198" s="296" t="s">
        <v>36</v>
      </c>
      <c r="C198" s="296"/>
      <c r="D198" s="296"/>
      <c r="E198" s="296"/>
      <c r="F198" s="296"/>
      <c r="G198" s="30"/>
      <c r="H198" s="30"/>
      <c r="I198" s="30"/>
      <c r="J198" s="30"/>
      <c r="K198" s="30"/>
      <c r="L198" s="30"/>
      <c r="M198" s="30"/>
      <c r="N198" s="30"/>
      <c r="O198" s="30"/>
      <c r="P198" s="30"/>
      <c r="Q198" s="30"/>
      <c r="R198" s="30"/>
      <c r="S198" s="30"/>
      <c r="T198" s="26"/>
      <c r="U198" s="30"/>
    </row>
    <row r="199" spans="1:22" ht="15">
      <c r="B199" s="296"/>
      <c r="C199" s="296"/>
      <c r="D199" s="296"/>
      <c r="E199" s="296"/>
      <c r="F199" s="296"/>
      <c r="G199" s="30"/>
      <c r="H199" s="30"/>
      <c r="I199" s="30"/>
      <c r="J199" s="30"/>
      <c r="K199" s="30"/>
      <c r="L199" s="30"/>
      <c r="M199" s="30"/>
      <c r="N199" s="30"/>
      <c r="O199" s="30"/>
      <c r="P199" s="30"/>
      <c r="Q199" s="30"/>
      <c r="R199" s="30"/>
      <c r="S199" s="30"/>
      <c r="T199" s="26"/>
      <c r="U199" s="30"/>
    </row>
    <row r="200" spans="1:22" ht="15" customHeight="1">
      <c r="B200" s="30"/>
      <c r="C200" s="30"/>
      <c r="D200" s="30"/>
      <c r="E200" s="30"/>
      <c r="F200" s="30"/>
      <c r="G200" s="30"/>
      <c r="H200" s="30"/>
      <c r="I200" s="30"/>
      <c r="J200" s="30"/>
      <c r="K200" s="30"/>
      <c r="L200" s="30"/>
      <c r="M200" s="30"/>
      <c r="N200" s="30"/>
      <c r="O200" s="30"/>
      <c r="P200" s="30"/>
      <c r="Q200" s="30"/>
      <c r="R200" s="30"/>
      <c r="S200" s="30"/>
      <c r="T200" s="26"/>
      <c r="U200" s="30"/>
    </row>
    <row r="201" spans="1:22" ht="15" customHeight="1">
      <c r="B201" s="297" t="s">
        <v>3</v>
      </c>
      <c r="C201" s="297"/>
      <c r="D201" s="297"/>
      <c r="E201" s="297"/>
      <c r="F201" s="297"/>
      <c r="G201" s="297" t="s">
        <v>37</v>
      </c>
      <c r="H201" s="297"/>
      <c r="I201" s="297"/>
      <c r="J201" s="297"/>
      <c r="K201" s="297"/>
      <c r="L201" s="297" t="s">
        <v>3</v>
      </c>
      <c r="M201" s="297"/>
      <c r="N201" s="297"/>
      <c r="O201" s="297"/>
      <c r="P201" s="297"/>
      <c r="Q201" s="248" t="s">
        <v>37</v>
      </c>
      <c r="R201" s="249"/>
      <c r="S201" s="249"/>
      <c r="T201" s="250"/>
      <c r="U201" s="30"/>
    </row>
    <row r="202" spans="1:22" ht="15" customHeight="1">
      <c r="B202" s="297"/>
      <c r="C202" s="297"/>
      <c r="D202" s="297"/>
      <c r="E202" s="297"/>
      <c r="F202" s="297"/>
      <c r="G202" s="297"/>
      <c r="H202" s="297"/>
      <c r="I202" s="297"/>
      <c r="J202" s="297"/>
      <c r="K202" s="297"/>
      <c r="L202" s="297"/>
      <c r="M202" s="297"/>
      <c r="N202" s="297"/>
      <c r="O202" s="297"/>
      <c r="P202" s="297"/>
      <c r="Q202" s="251"/>
      <c r="R202" s="252"/>
      <c r="S202" s="252"/>
      <c r="T202" s="253"/>
      <c r="U202" s="30"/>
    </row>
    <row r="203" spans="1:22" ht="15">
      <c r="B203" s="298" t="s">
        <v>19</v>
      </c>
      <c r="C203" s="298"/>
      <c r="D203" s="298"/>
      <c r="E203" s="298"/>
      <c r="F203" s="298"/>
      <c r="G203" s="298" t="s">
        <v>780</v>
      </c>
      <c r="H203" s="298"/>
      <c r="I203" s="298"/>
      <c r="J203" s="298"/>
      <c r="K203" s="298"/>
      <c r="L203" s="298" t="s">
        <v>44</v>
      </c>
      <c r="M203" s="298"/>
      <c r="N203" s="298"/>
      <c r="O203" s="298"/>
      <c r="P203" s="298"/>
      <c r="Q203" s="299" t="s">
        <v>53</v>
      </c>
      <c r="R203" s="300"/>
      <c r="S203" s="300"/>
      <c r="T203" s="301"/>
      <c r="U203" s="30"/>
    </row>
    <row r="204" spans="1:22" ht="15">
      <c r="B204" s="298"/>
      <c r="C204" s="298"/>
      <c r="D204" s="298"/>
      <c r="E204" s="298"/>
      <c r="F204" s="298"/>
      <c r="G204" s="298"/>
      <c r="H204" s="298"/>
      <c r="I204" s="298"/>
      <c r="J204" s="298"/>
      <c r="K204" s="298"/>
      <c r="L204" s="298"/>
      <c r="M204" s="298"/>
      <c r="N204" s="298"/>
      <c r="O204" s="298"/>
      <c r="P204" s="298"/>
      <c r="Q204" s="302"/>
      <c r="R204" s="303"/>
      <c r="S204" s="303"/>
      <c r="T204" s="304"/>
      <c r="U204" s="30"/>
    </row>
    <row r="205" spans="1:22" ht="15">
      <c r="B205" s="298" t="s">
        <v>641</v>
      </c>
      <c r="C205" s="298"/>
      <c r="D205" s="298"/>
      <c r="E205" s="298"/>
      <c r="F205" s="298"/>
      <c r="G205" s="298" t="s">
        <v>780</v>
      </c>
      <c r="H205" s="298"/>
      <c r="I205" s="298"/>
      <c r="J205" s="298"/>
      <c r="K205" s="298"/>
      <c r="L205" s="298" t="s">
        <v>143</v>
      </c>
      <c r="M205" s="298"/>
      <c r="N205" s="298"/>
      <c r="O205" s="298"/>
      <c r="P205" s="298"/>
      <c r="Q205" s="299" t="s">
        <v>53</v>
      </c>
      <c r="R205" s="300"/>
      <c r="S205" s="300"/>
      <c r="T205" s="301"/>
      <c r="U205" s="30"/>
    </row>
    <row r="206" spans="1:22" ht="15">
      <c r="B206" s="298"/>
      <c r="C206" s="298"/>
      <c r="D206" s="298"/>
      <c r="E206" s="298"/>
      <c r="F206" s="298"/>
      <c r="G206" s="298"/>
      <c r="H206" s="298"/>
      <c r="I206" s="298"/>
      <c r="J206" s="298"/>
      <c r="K206" s="298"/>
      <c r="L206" s="298"/>
      <c r="M206" s="298"/>
      <c r="N206" s="298"/>
      <c r="O206" s="298"/>
      <c r="P206" s="298"/>
      <c r="Q206" s="302"/>
      <c r="R206" s="303"/>
      <c r="S206" s="303"/>
      <c r="T206" s="304"/>
      <c r="U206" s="30"/>
    </row>
    <row r="207" spans="1:22" ht="15">
      <c r="B207" s="298" t="s">
        <v>642</v>
      </c>
      <c r="C207" s="298"/>
      <c r="D207" s="298"/>
      <c r="E207" s="298"/>
      <c r="F207" s="298"/>
      <c r="G207" s="298" t="s">
        <v>780</v>
      </c>
      <c r="H207" s="298"/>
      <c r="I207" s="298"/>
      <c r="J207" s="298"/>
      <c r="K207" s="298"/>
      <c r="L207" s="298" t="s">
        <v>45</v>
      </c>
      <c r="M207" s="298"/>
      <c r="N207" s="298"/>
      <c r="O207" s="298"/>
      <c r="P207" s="298"/>
      <c r="Q207" s="299" t="s">
        <v>712</v>
      </c>
      <c r="R207" s="300"/>
      <c r="S207" s="300"/>
      <c r="T207" s="301"/>
      <c r="U207" s="30"/>
    </row>
    <row r="208" spans="1:22" ht="15">
      <c r="B208" s="298"/>
      <c r="C208" s="298"/>
      <c r="D208" s="298"/>
      <c r="E208" s="298"/>
      <c r="F208" s="298"/>
      <c r="G208" s="298"/>
      <c r="H208" s="298"/>
      <c r="I208" s="298"/>
      <c r="J208" s="298"/>
      <c r="K208" s="298"/>
      <c r="L208" s="298"/>
      <c r="M208" s="298"/>
      <c r="N208" s="298"/>
      <c r="O208" s="298"/>
      <c r="P208" s="298"/>
      <c r="Q208" s="302"/>
      <c r="R208" s="303"/>
      <c r="S208" s="303"/>
      <c r="T208" s="304"/>
      <c r="U208" s="30"/>
    </row>
    <row r="209" spans="2:21" ht="15">
      <c r="B209" s="298" t="s">
        <v>643</v>
      </c>
      <c r="C209" s="298"/>
      <c r="D209" s="298"/>
      <c r="E209" s="298"/>
      <c r="F209" s="298"/>
      <c r="G209" s="298" t="s">
        <v>644</v>
      </c>
      <c r="H209" s="298"/>
      <c r="I209" s="298"/>
      <c r="J209" s="298"/>
      <c r="K209" s="298"/>
      <c r="L209" s="298" t="s">
        <v>46</v>
      </c>
      <c r="M209" s="298"/>
      <c r="N209" s="298"/>
      <c r="O209" s="298"/>
      <c r="P209" s="298"/>
      <c r="Q209" s="299" t="s">
        <v>725</v>
      </c>
      <c r="R209" s="300"/>
      <c r="S209" s="300"/>
      <c r="T209" s="301"/>
      <c r="U209" s="30"/>
    </row>
    <row r="210" spans="2:21" ht="15">
      <c r="B210" s="298"/>
      <c r="C210" s="298"/>
      <c r="D210" s="298"/>
      <c r="E210" s="298"/>
      <c r="F210" s="298"/>
      <c r="G210" s="298"/>
      <c r="H210" s="298"/>
      <c r="I210" s="298"/>
      <c r="J210" s="298"/>
      <c r="K210" s="298"/>
      <c r="L210" s="298"/>
      <c r="M210" s="298"/>
      <c r="N210" s="298"/>
      <c r="O210" s="298"/>
      <c r="P210" s="298"/>
      <c r="Q210" s="302"/>
      <c r="R210" s="303"/>
      <c r="S210" s="303"/>
      <c r="T210" s="304"/>
      <c r="U210" s="30"/>
    </row>
    <row r="211" spans="2:21" ht="15">
      <c r="B211" s="298" t="s">
        <v>38</v>
      </c>
      <c r="C211" s="298"/>
      <c r="D211" s="298"/>
      <c r="E211" s="298"/>
      <c r="F211" s="298"/>
      <c r="G211" s="298" t="str">
        <f>G203</f>
        <v>A-283 GR.C</v>
      </c>
      <c r="H211" s="298"/>
      <c r="I211" s="298"/>
      <c r="J211" s="298"/>
      <c r="K211" s="298"/>
      <c r="L211" s="298" t="s">
        <v>47</v>
      </c>
      <c r="M211" s="298"/>
      <c r="N211" s="298"/>
      <c r="O211" s="298"/>
      <c r="P211" s="298"/>
      <c r="Q211" s="299" t="s">
        <v>54</v>
      </c>
      <c r="R211" s="300"/>
      <c r="S211" s="300"/>
      <c r="T211" s="301"/>
      <c r="U211" s="30"/>
    </row>
    <row r="212" spans="2:21" ht="15">
      <c r="B212" s="298"/>
      <c r="C212" s="298"/>
      <c r="D212" s="298"/>
      <c r="E212" s="298"/>
      <c r="F212" s="298"/>
      <c r="G212" s="298"/>
      <c r="H212" s="298"/>
      <c r="I212" s="298"/>
      <c r="J212" s="298"/>
      <c r="K212" s="298"/>
      <c r="L212" s="298"/>
      <c r="M212" s="298"/>
      <c r="N212" s="298"/>
      <c r="O212" s="298"/>
      <c r="P212" s="298"/>
      <c r="Q212" s="302"/>
      <c r="R212" s="303"/>
      <c r="S212" s="303"/>
      <c r="T212" s="304"/>
      <c r="U212" s="30"/>
    </row>
    <row r="213" spans="2:21" ht="15" customHeight="1">
      <c r="B213" s="298" t="s">
        <v>39</v>
      </c>
      <c r="C213" s="298"/>
      <c r="D213" s="298"/>
      <c r="E213" s="298"/>
      <c r="F213" s="298"/>
      <c r="G213" s="298" t="s">
        <v>781</v>
      </c>
      <c r="H213" s="298"/>
      <c r="I213" s="298"/>
      <c r="J213" s="298"/>
      <c r="K213" s="298"/>
      <c r="L213" s="298" t="s">
        <v>48</v>
      </c>
      <c r="M213" s="298"/>
      <c r="N213" s="298"/>
      <c r="O213" s="298"/>
      <c r="P213" s="298"/>
      <c r="Q213" s="287" t="s">
        <v>55</v>
      </c>
      <c r="R213" s="288"/>
      <c r="S213" s="288"/>
      <c r="T213" s="291"/>
      <c r="U213" s="30"/>
    </row>
    <row r="214" spans="2:21" ht="15">
      <c r="B214" s="298"/>
      <c r="C214" s="298"/>
      <c r="D214" s="298"/>
      <c r="E214" s="298"/>
      <c r="F214" s="298"/>
      <c r="G214" s="298"/>
      <c r="H214" s="298"/>
      <c r="I214" s="298"/>
      <c r="J214" s="298"/>
      <c r="K214" s="298"/>
      <c r="L214" s="298"/>
      <c r="M214" s="298"/>
      <c r="N214" s="298"/>
      <c r="O214" s="298"/>
      <c r="P214" s="298"/>
      <c r="Q214" s="289"/>
      <c r="R214" s="290"/>
      <c r="S214" s="290"/>
      <c r="T214" s="292"/>
      <c r="U214" s="30"/>
    </row>
    <row r="215" spans="2:21" ht="15">
      <c r="B215" s="298" t="s">
        <v>40</v>
      </c>
      <c r="C215" s="298"/>
      <c r="D215" s="298"/>
      <c r="E215" s="298"/>
      <c r="F215" s="298"/>
      <c r="G215" s="298" t="str">
        <f>G205</f>
        <v>A-283 GR.C</v>
      </c>
      <c r="H215" s="298"/>
      <c r="I215" s="298"/>
      <c r="J215" s="298"/>
      <c r="K215" s="298"/>
      <c r="L215" s="298" t="s">
        <v>49</v>
      </c>
      <c r="M215" s="298"/>
      <c r="N215" s="298"/>
      <c r="O215" s="298"/>
      <c r="P215" s="298"/>
      <c r="Q215" s="316" t="s">
        <v>888</v>
      </c>
      <c r="R215" s="317"/>
      <c r="S215" s="317"/>
      <c r="T215" s="318"/>
      <c r="U215" s="30"/>
    </row>
    <row r="216" spans="2:21" ht="15">
      <c r="B216" s="298"/>
      <c r="C216" s="298"/>
      <c r="D216" s="298"/>
      <c r="E216" s="298"/>
      <c r="F216" s="298"/>
      <c r="G216" s="298"/>
      <c r="H216" s="298"/>
      <c r="I216" s="298"/>
      <c r="J216" s="298"/>
      <c r="K216" s="298"/>
      <c r="L216" s="298"/>
      <c r="M216" s="298"/>
      <c r="N216" s="298"/>
      <c r="O216" s="298"/>
      <c r="P216" s="298"/>
      <c r="Q216" s="319"/>
      <c r="R216" s="320"/>
      <c r="S216" s="320"/>
      <c r="T216" s="321"/>
      <c r="U216" s="30"/>
    </row>
    <row r="217" spans="2:21" ht="15">
      <c r="B217" s="298" t="s">
        <v>41</v>
      </c>
      <c r="C217" s="298"/>
      <c r="D217" s="298"/>
      <c r="E217" s="298"/>
      <c r="F217" s="298"/>
      <c r="G217" s="298" t="s">
        <v>782</v>
      </c>
      <c r="H217" s="298"/>
      <c r="I217" s="298"/>
      <c r="J217" s="298"/>
      <c r="K217" s="298"/>
      <c r="L217" s="298" t="s">
        <v>50</v>
      </c>
      <c r="M217" s="298"/>
      <c r="N217" s="298"/>
      <c r="O217" s="298"/>
      <c r="P217" s="298"/>
      <c r="Q217" s="299" t="s">
        <v>53</v>
      </c>
      <c r="R217" s="300"/>
      <c r="S217" s="300"/>
      <c r="T217" s="301"/>
      <c r="U217" s="30"/>
    </row>
    <row r="218" spans="2:21" ht="15">
      <c r="B218" s="298"/>
      <c r="C218" s="298"/>
      <c r="D218" s="298"/>
      <c r="E218" s="298"/>
      <c r="F218" s="298"/>
      <c r="G218" s="298"/>
      <c r="H218" s="298"/>
      <c r="I218" s="298"/>
      <c r="J218" s="298"/>
      <c r="K218" s="298"/>
      <c r="L218" s="298"/>
      <c r="M218" s="298"/>
      <c r="N218" s="298"/>
      <c r="O218" s="298"/>
      <c r="P218" s="298"/>
      <c r="Q218" s="302"/>
      <c r="R218" s="303"/>
      <c r="S218" s="303"/>
      <c r="T218" s="304"/>
      <c r="U218" s="30"/>
    </row>
    <row r="219" spans="2:21" ht="15">
      <c r="B219" s="298" t="s">
        <v>42</v>
      </c>
      <c r="C219" s="298"/>
      <c r="D219" s="298"/>
      <c r="E219" s="298"/>
      <c r="F219" s="298"/>
      <c r="G219" s="298" t="str">
        <f>G203</f>
        <v>A-283 GR.C</v>
      </c>
      <c r="H219" s="298"/>
      <c r="I219" s="298"/>
      <c r="J219" s="298"/>
      <c r="K219" s="298"/>
      <c r="L219" s="298" t="s">
        <v>51</v>
      </c>
      <c r="M219" s="298"/>
      <c r="N219" s="298"/>
      <c r="O219" s="298"/>
      <c r="P219" s="298"/>
      <c r="Q219" s="299" t="s">
        <v>56</v>
      </c>
      <c r="R219" s="300"/>
      <c r="S219" s="300"/>
      <c r="T219" s="301"/>
      <c r="U219" s="30"/>
    </row>
    <row r="220" spans="2:21" ht="15">
      <c r="B220" s="298"/>
      <c r="C220" s="298"/>
      <c r="D220" s="298"/>
      <c r="E220" s="298"/>
      <c r="F220" s="298"/>
      <c r="G220" s="298"/>
      <c r="H220" s="298"/>
      <c r="I220" s="298"/>
      <c r="J220" s="298"/>
      <c r="K220" s="298"/>
      <c r="L220" s="298"/>
      <c r="M220" s="298"/>
      <c r="N220" s="298"/>
      <c r="O220" s="298"/>
      <c r="P220" s="298"/>
      <c r="Q220" s="302"/>
      <c r="R220" s="303"/>
      <c r="S220" s="303"/>
      <c r="T220" s="304"/>
      <c r="U220" s="30"/>
    </row>
    <row r="221" spans="2:21" ht="15">
      <c r="B221" s="298" t="s">
        <v>43</v>
      </c>
      <c r="C221" s="298"/>
      <c r="D221" s="298"/>
      <c r="E221" s="298"/>
      <c r="F221" s="298"/>
      <c r="G221" s="298" t="str">
        <f>G207</f>
        <v>A-283 GR.C</v>
      </c>
      <c r="H221" s="298"/>
      <c r="I221" s="298"/>
      <c r="J221" s="298"/>
      <c r="K221" s="298"/>
      <c r="L221" s="176"/>
      <c r="M221" s="176"/>
      <c r="N221" s="176"/>
      <c r="O221" s="176"/>
      <c r="P221" s="176"/>
      <c r="Q221" s="306"/>
      <c r="R221" s="307"/>
      <c r="S221" s="307"/>
      <c r="T221" s="308"/>
      <c r="U221" s="30"/>
    </row>
    <row r="222" spans="2:21" ht="15">
      <c r="B222" s="298"/>
      <c r="C222" s="298"/>
      <c r="D222" s="298"/>
      <c r="E222" s="298"/>
      <c r="F222" s="298"/>
      <c r="G222" s="298"/>
      <c r="H222" s="298"/>
      <c r="I222" s="298"/>
      <c r="J222" s="298"/>
      <c r="K222" s="298"/>
      <c r="L222" s="176"/>
      <c r="M222" s="176"/>
      <c r="N222" s="176"/>
      <c r="O222" s="176"/>
      <c r="P222" s="176"/>
      <c r="Q222" s="309"/>
      <c r="R222" s="310"/>
      <c r="S222" s="310"/>
      <c r="T222" s="311"/>
      <c r="U222" s="30"/>
    </row>
    <row r="224" spans="2:21" ht="15">
      <c r="B224" s="312" t="s">
        <v>57</v>
      </c>
      <c r="C224" s="312"/>
      <c r="D224" s="312"/>
      <c r="E224" s="312"/>
      <c r="F224" s="30"/>
      <c r="G224" s="30"/>
      <c r="H224" s="30"/>
      <c r="I224" s="30"/>
      <c r="J224" s="30"/>
      <c r="K224" s="30"/>
      <c r="L224" s="30"/>
      <c r="M224" s="30"/>
      <c r="N224" s="30"/>
      <c r="O224" s="30"/>
      <c r="P224" s="30"/>
      <c r="Q224" s="30"/>
      <c r="R224" s="30"/>
      <c r="S224" s="30"/>
      <c r="T224" s="26"/>
    </row>
    <row r="225" spans="2:21" ht="15">
      <c r="B225" s="312"/>
      <c r="C225" s="312"/>
      <c r="D225" s="312"/>
      <c r="E225" s="312"/>
      <c r="F225" s="30"/>
      <c r="G225" s="30"/>
      <c r="H225" s="30"/>
      <c r="I225" s="30"/>
      <c r="J225" s="30"/>
      <c r="K225" s="30"/>
      <c r="L225" s="30"/>
      <c r="M225" s="30"/>
      <c r="N225" s="30"/>
      <c r="O225" s="30"/>
      <c r="P225" s="30"/>
      <c r="Q225" s="30"/>
      <c r="R225" s="30"/>
      <c r="S225" s="30"/>
      <c r="T225" s="26"/>
    </row>
    <row r="226" spans="2:21" ht="15">
      <c r="B226" s="30"/>
      <c r="C226" s="30"/>
      <c r="D226" s="30"/>
      <c r="E226" s="30"/>
      <c r="F226" s="30"/>
      <c r="G226" s="30"/>
      <c r="H226" s="30"/>
      <c r="I226" s="30"/>
      <c r="J226" s="30"/>
      <c r="K226" s="30"/>
      <c r="L226" s="30"/>
      <c r="M226" s="30"/>
      <c r="N226" s="30"/>
      <c r="O226" s="30"/>
      <c r="P226" s="30"/>
      <c r="Q226" s="30"/>
      <c r="R226" s="30"/>
      <c r="S226" s="30"/>
      <c r="T226" s="26"/>
    </row>
    <row r="227" spans="2:21">
      <c r="B227" s="305" t="s">
        <v>58</v>
      </c>
      <c r="C227" s="305"/>
      <c r="D227" s="305"/>
      <c r="E227" s="305"/>
      <c r="F227" s="305" t="s">
        <v>37</v>
      </c>
      <c r="G227" s="305"/>
      <c r="H227" s="305"/>
      <c r="I227" s="305"/>
      <c r="J227" s="305" t="s">
        <v>236</v>
      </c>
      <c r="K227" s="305"/>
      <c r="L227" s="305"/>
      <c r="M227" s="305"/>
      <c r="N227" s="305" t="s">
        <v>237</v>
      </c>
      <c r="O227" s="305"/>
      <c r="P227" s="305"/>
      <c r="Q227" s="305"/>
      <c r="R227" s="313" t="s">
        <v>238</v>
      </c>
      <c r="S227" s="314"/>
      <c r="T227" s="315"/>
    </row>
    <row r="228" spans="2:21" ht="15">
      <c r="B228" s="177" t="s">
        <v>448</v>
      </c>
      <c r="C228" s="177"/>
      <c r="D228" s="177"/>
      <c r="E228" s="177"/>
      <c r="F228" s="177" t="str">
        <f>G203</f>
        <v>A-283 GR.C</v>
      </c>
      <c r="G228" s="177"/>
      <c r="H228" s="177"/>
      <c r="I228" s="177"/>
      <c r="J228" s="183">
        <v>205</v>
      </c>
      <c r="K228" s="184"/>
      <c r="L228" s="184"/>
      <c r="M228" s="185"/>
      <c r="N228" s="177">
        <v>137</v>
      </c>
      <c r="O228" s="177"/>
      <c r="P228" s="177"/>
      <c r="Q228" s="177"/>
      <c r="R228" s="183">
        <v>154</v>
      </c>
      <c r="S228" s="184"/>
      <c r="T228" s="185"/>
    </row>
    <row r="229" spans="2:21" ht="15">
      <c r="B229" s="177" t="s">
        <v>449</v>
      </c>
      <c r="C229" s="177"/>
      <c r="D229" s="177"/>
      <c r="E229" s="177"/>
      <c r="F229" s="177" t="str">
        <f>F228</f>
        <v>A-283 GR.C</v>
      </c>
      <c r="G229" s="177"/>
      <c r="H229" s="177"/>
      <c r="I229" s="177"/>
      <c r="J229" s="183">
        <v>205</v>
      </c>
      <c r="K229" s="184"/>
      <c r="L229" s="184"/>
      <c r="M229" s="185"/>
      <c r="N229" s="177">
        <v>137</v>
      </c>
      <c r="O229" s="177"/>
      <c r="P229" s="177"/>
      <c r="Q229" s="177"/>
      <c r="R229" s="183">
        <v>154</v>
      </c>
      <c r="S229" s="184"/>
      <c r="T229" s="185"/>
    </row>
    <row r="230" spans="2:21" ht="15">
      <c r="B230" s="177" t="s">
        <v>450</v>
      </c>
      <c r="C230" s="177"/>
      <c r="D230" s="177"/>
      <c r="E230" s="177"/>
      <c r="F230" s="177" t="str">
        <f t="shared" ref="F230:F233" si="0">F229</f>
        <v>A-283 GR.C</v>
      </c>
      <c r="G230" s="177"/>
      <c r="H230" s="177"/>
      <c r="I230" s="177"/>
      <c r="J230" s="183">
        <v>205</v>
      </c>
      <c r="K230" s="184"/>
      <c r="L230" s="184"/>
      <c r="M230" s="185"/>
      <c r="N230" s="177">
        <v>137</v>
      </c>
      <c r="O230" s="177"/>
      <c r="P230" s="177"/>
      <c r="Q230" s="177"/>
      <c r="R230" s="183">
        <v>154</v>
      </c>
      <c r="S230" s="184"/>
      <c r="T230" s="185"/>
    </row>
    <row r="231" spans="2:21" ht="15">
      <c r="B231" s="177" t="s">
        <v>451</v>
      </c>
      <c r="C231" s="177"/>
      <c r="D231" s="177"/>
      <c r="E231" s="177"/>
      <c r="F231" s="177" t="str">
        <f t="shared" si="0"/>
        <v>A-283 GR.C</v>
      </c>
      <c r="G231" s="177"/>
      <c r="H231" s="177"/>
      <c r="I231" s="177"/>
      <c r="J231" s="183">
        <v>205</v>
      </c>
      <c r="K231" s="184"/>
      <c r="L231" s="184"/>
      <c r="M231" s="185"/>
      <c r="N231" s="177">
        <v>137</v>
      </c>
      <c r="O231" s="177"/>
      <c r="P231" s="177"/>
      <c r="Q231" s="177"/>
      <c r="R231" s="183">
        <v>154</v>
      </c>
      <c r="S231" s="184"/>
      <c r="T231" s="185"/>
    </row>
    <row r="232" spans="2:21" ht="15">
      <c r="B232" s="177" t="s">
        <v>452</v>
      </c>
      <c r="C232" s="177"/>
      <c r="D232" s="177"/>
      <c r="E232" s="177"/>
      <c r="F232" s="177" t="str">
        <f t="shared" si="0"/>
        <v>A-283 GR.C</v>
      </c>
      <c r="G232" s="177"/>
      <c r="H232" s="177"/>
      <c r="I232" s="177"/>
      <c r="J232" s="183">
        <v>205</v>
      </c>
      <c r="K232" s="184"/>
      <c r="L232" s="184"/>
      <c r="M232" s="185"/>
      <c r="N232" s="177">
        <v>137</v>
      </c>
      <c r="O232" s="177"/>
      <c r="P232" s="177"/>
      <c r="Q232" s="177"/>
      <c r="R232" s="183">
        <v>154</v>
      </c>
      <c r="S232" s="184"/>
      <c r="T232" s="185"/>
    </row>
    <row r="233" spans="2:21" ht="15">
      <c r="B233" s="177" t="s">
        <v>505</v>
      </c>
      <c r="C233" s="177"/>
      <c r="D233" s="177"/>
      <c r="E233" s="177"/>
      <c r="F233" s="177" t="str">
        <f t="shared" si="0"/>
        <v>A-283 GR.C</v>
      </c>
      <c r="G233" s="177"/>
      <c r="H233" s="177"/>
      <c r="I233" s="177"/>
      <c r="J233" s="183">
        <v>205</v>
      </c>
      <c r="K233" s="184"/>
      <c r="L233" s="184"/>
      <c r="M233" s="185"/>
      <c r="N233" s="177">
        <v>137</v>
      </c>
      <c r="O233" s="177"/>
      <c r="P233" s="177"/>
      <c r="Q233" s="177"/>
      <c r="R233" s="183">
        <v>154</v>
      </c>
      <c r="S233" s="184"/>
      <c r="T233" s="185"/>
      <c r="U233" s="60"/>
    </row>
    <row r="234" spans="2:21" ht="15">
      <c r="B234" s="177"/>
      <c r="C234" s="177"/>
      <c r="D234" s="177"/>
      <c r="E234" s="177"/>
      <c r="F234" s="177"/>
      <c r="G234" s="177"/>
      <c r="H234" s="177"/>
      <c r="I234" s="177"/>
      <c r="J234" s="183"/>
      <c r="K234" s="184"/>
      <c r="L234" s="184"/>
      <c r="M234" s="185"/>
      <c r="N234" s="177"/>
      <c r="O234" s="177"/>
      <c r="P234" s="177"/>
      <c r="Q234" s="177"/>
      <c r="R234" s="183"/>
      <c r="S234" s="184"/>
      <c r="T234" s="185"/>
    </row>
    <row r="235" spans="2:21" ht="15">
      <c r="B235" s="177"/>
      <c r="C235" s="177"/>
      <c r="D235" s="177"/>
      <c r="E235" s="177"/>
      <c r="F235" s="177"/>
      <c r="G235" s="177"/>
      <c r="H235" s="177"/>
      <c r="I235" s="177"/>
      <c r="J235" s="183"/>
      <c r="K235" s="184"/>
      <c r="L235" s="184"/>
      <c r="M235" s="185"/>
      <c r="N235" s="177"/>
      <c r="O235" s="177"/>
      <c r="P235" s="177"/>
      <c r="Q235" s="177"/>
      <c r="R235" s="183"/>
      <c r="S235" s="184"/>
      <c r="T235" s="185"/>
    </row>
  </sheetData>
  <mergeCells count="373">
    <mergeCell ref="B182:S182"/>
    <mergeCell ref="B183:K183"/>
    <mergeCell ref="L183:S183"/>
    <mergeCell ref="B184:K184"/>
    <mergeCell ref="B185:K185"/>
    <mergeCell ref="B186:K186"/>
    <mergeCell ref="L184:S184"/>
    <mergeCell ref="L185:S185"/>
    <mergeCell ref="L186:S186"/>
    <mergeCell ref="B235:E235"/>
    <mergeCell ref="F235:I235"/>
    <mergeCell ref="J235:M235"/>
    <mergeCell ref="N235:Q235"/>
    <mergeCell ref="R235:T235"/>
    <mergeCell ref="B234:E234"/>
    <mergeCell ref="F234:I234"/>
    <mergeCell ref="J234:M234"/>
    <mergeCell ref="N234:Q234"/>
    <mergeCell ref="R234:T234"/>
    <mergeCell ref="N230:Q230"/>
    <mergeCell ref="T109:U109"/>
    <mergeCell ref="H144:O145"/>
    <mergeCell ref="P144:S145"/>
    <mergeCell ref="T98:U98"/>
    <mergeCell ref="T99:U99"/>
    <mergeCell ref="T101:U101"/>
    <mergeCell ref="T102:U102"/>
    <mergeCell ref="T103:U103"/>
    <mergeCell ref="T104:U104"/>
    <mergeCell ref="T106:U106"/>
    <mergeCell ref="T107:U107"/>
    <mergeCell ref="T105:U105"/>
    <mergeCell ref="R230:T230"/>
    <mergeCell ref="T196:T197"/>
    <mergeCell ref="Q209:T210"/>
    <mergeCell ref="Q211:T212"/>
    <mergeCell ref="R227:T227"/>
    <mergeCell ref="Q213:T214"/>
    <mergeCell ref="Q215:T216"/>
    <mergeCell ref="Q217:T218"/>
    <mergeCell ref="Q219:T220"/>
    <mergeCell ref="P176:S176"/>
    <mergeCell ref="H165:O165"/>
    <mergeCell ref="B231:E231"/>
    <mergeCell ref="F231:I231"/>
    <mergeCell ref="J231:M231"/>
    <mergeCell ref="N231:Q231"/>
    <mergeCell ref="R232:T232"/>
    <mergeCell ref="R233:T233"/>
    <mergeCell ref="F228:I228"/>
    <mergeCell ref="J228:M228"/>
    <mergeCell ref="N228:Q228"/>
    <mergeCell ref="N229:Q229"/>
    <mergeCell ref="F229:I229"/>
    <mergeCell ref="B233:E233"/>
    <mergeCell ref="F233:I233"/>
    <mergeCell ref="J233:M233"/>
    <mergeCell ref="N233:Q233"/>
    <mergeCell ref="B230:E230"/>
    <mergeCell ref="F230:I230"/>
    <mergeCell ref="B232:E232"/>
    <mergeCell ref="F232:I232"/>
    <mergeCell ref="J232:M232"/>
    <mergeCell ref="N232:Q232"/>
    <mergeCell ref="B228:E228"/>
    <mergeCell ref="J230:M230"/>
    <mergeCell ref="R231:T231"/>
    <mergeCell ref="B219:F220"/>
    <mergeCell ref="G219:K220"/>
    <mergeCell ref="L219:P220"/>
    <mergeCell ref="B209:F210"/>
    <mergeCell ref="G209:K210"/>
    <mergeCell ref="L209:P210"/>
    <mergeCell ref="B211:F212"/>
    <mergeCell ref="G211:K212"/>
    <mergeCell ref="L211:P212"/>
    <mergeCell ref="B213:F214"/>
    <mergeCell ref="G213:K214"/>
    <mergeCell ref="L213:P214"/>
    <mergeCell ref="L217:P218"/>
    <mergeCell ref="B229:E229"/>
    <mergeCell ref="Q203:T204"/>
    <mergeCell ref="Q205:T206"/>
    <mergeCell ref="Q207:T208"/>
    <mergeCell ref="B207:F208"/>
    <mergeCell ref="G207:K208"/>
    <mergeCell ref="L207:P208"/>
    <mergeCell ref="J227:M227"/>
    <mergeCell ref="N227:Q227"/>
    <mergeCell ref="Q221:T222"/>
    <mergeCell ref="R228:T228"/>
    <mergeCell ref="R229:T229"/>
    <mergeCell ref="J229:M229"/>
    <mergeCell ref="B215:F216"/>
    <mergeCell ref="G215:K216"/>
    <mergeCell ref="L215:P216"/>
    <mergeCell ref="B217:F218"/>
    <mergeCell ref="G217:K218"/>
    <mergeCell ref="B221:F222"/>
    <mergeCell ref="G221:K222"/>
    <mergeCell ref="L221:P222"/>
    <mergeCell ref="B224:E225"/>
    <mergeCell ref="B227:E227"/>
    <mergeCell ref="F227:I227"/>
    <mergeCell ref="B198:F199"/>
    <mergeCell ref="B201:F202"/>
    <mergeCell ref="G201:K202"/>
    <mergeCell ref="L201:P202"/>
    <mergeCell ref="B203:F204"/>
    <mergeCell ref="G203:K204"/>
    <mergeCell ref="L203:P204"/>
    <mergeCell ref="B205:F206"/>
    <mergeCell ref="G205:K206"/>
    <mergeCell ref="L205:P206"/>
    <mergeCell ref="B176:G176"/>
    <mergeCell ref="H176:O176"/>
    <mergeCell ref="B173:G173"/>
    <mergeCell ref="H173:O173"/>
    <mergeCell ref="P173:S173"/>
    <mergeCell ref="B174:G174"/>
    <mergeCell ref="H174:O174"/>
    <mergeCell ref="B180:G180"/>
    <mergeCell ref="H180:O180"/>
    <mergeCell ref="P180:S180"/>
    <mergeCell ref="B177:G177"/>
    <mergeCell ref="H177:O177"/>
    <mergeCell ref="P177:S177"/>
    <mergeCell ref="B178:G178"/>
    <mergeCell ref="H178:O178"/>
    <mergeCell ref="P178:S178"/>
    <mergeCell ref="B179:G179"/>
    <mergeCell ref="H179:O179"/>
    <mergeCell ref="P179:S179"/>
    <mergeCell ref="B172:G172"/>
    <mergeCell ref="H172:O172"/>
    <mergeCell ref="P172:S172"/>
    <mergeCell ref="H166:O166"/>
    <mergeCell ref="P166:S166"/>
    <mergeCell ref="H167:O167"/>
    <mergeCell ref="P167:S167"/>
    <mergeCell ref="B175:G175"/>
    <mergeCell ref="H175:O175"/>
    <mergeCell ref="P175:S175"/>
    <mergeCell ref="B150:G151"/>
    <mergeCell ref="H150:J151"/>
    <mergeCell ref="P150:S151"/>
    <mergeCell ref="K150:O151"/>
    <mergeCell ref="P165:S165"/>
    <mergeCell ref="B162:G162"/>
    <mergeCell ref="H162:O162"/>
    <mergeCell ref="P162:S162"/>
    <mergeCell ref="B164:G164"/>
    <mergeCell ref="H164:O164"/>
    <mergeCell ref="P164:S164"/>
    <mergeCell ref="B165:G165"/>
    <mergeCell ref="B163:G163"/>
    <mergeCell ref="H163:O163"/>
    <mergeCell ref="P163:S163"/>
    <mergeCell ref="B161:G161"/>
    <mergeCell ref="H161:O161"/>
    <mergeCell ref="P161:S161"/>
    <mergeCell ref="F46:Q46"/>
    <mergeCell ref="A38:E43"/>
    <mergeCell ref="T44:T45"/>
    <mergeCell ref="R38:V43"/>
    <mergeCell ref="A1:E6"/>
    <mergeCell ref="R1:V6"/>
    <mergeCell ref="T7:T8"/>
    <mergeCell ref="F6:Q6"/>
    <mergeCell ref="F1:Q5"/>
    <mergeCell ref="A7:E7"/>
    <mergeCell ref="G7:H7"/>
    <mergeCell ref="I7:J7"/>
    <mergeCell ref="K7:L7"/>
    <mergeCell ref="N7:O7"/>
    <mergeCell ref="R7:R8"/>
    <mergeCell ref="S7:S8"/>
    <mergeCell ref="U7:V8"/>
    <mergeCell ref="F43:Q43"/>
    <mergeCell ref="A8:E8"/>
    <mergeCell ref="G8:H8"/>
    <mergeCell ref="I8:J8"/>
    <mergeCell ref="K8:L8"/>
    <mergeCell ref="N8:O8"/>
    <mergeCell ref="A9:V15"/>
    <mergeCell ref="A85:E90"/>
    <mergeCell ref="R85:V90"/>
    <mergeCell ref="T91:T92"/>
    <mergeCell ref="F138:Q138"/>
    <mergeCell ref="B93:Q94"/>
    <mergeCell ref="T100:U100"/>
    <mergeCell ref="B99:D99"/>
    <mergeCell ref="B106:H106"/>
    <mergeCell ref="T96:U96"/>
    <mergeCell ref="T97:U97"/>
    <mergeCell ref="T108:U108"/>
    <mergeCell ref="F90:Q90"/>
    <mergeCell ref="F85:Q89"/>
    <mergeCell ref="A91:E91"/>
    <mergeCell ref="G91:H91"/>
    <mergeCell ref="I91:J91"/>
    <mergeCell ref="K91:L91"/>
    <mergeCell ref="N91:O91"/>
    <mergeCell ref="R91:R92"/>
    <mergeCell ref="S91:S92"/>
    <mergeCell ref="U91:V92"/>
    <mergeCell ref="A92:E92"/>
    <mergeCell ref="G92:H92"/>
    <mergeCell ref="B100:F100"/>
    <mergeCell ref="Q201:T202"/>
    <mergeCell ref="A190:E195"/>
    <mergeCell ref="R190:V195"/>
    <mergeCell ref="T139:T140"/>
    <mergeCell ref="F195:Q195"/>
    <mergeCell ref="B146:G146"/>
    <mergeCell ref="P146:S146"/>
    <mergeCell ref="H146:O146"/>
    <mergeCell ref="B147:G147"/>
    <mergeCell ref="H147:O147"/>
    <mergeCell ref="P147:S147"/>
    <mergeCell ref="B157:G157"/>
    <mergeCell ref="H158:O158"/>
    <mergeCell ref="P158:S158"/>
    <mergeCell ref="B141:G142"/>
    <mergeCell ref="H155:O155"/>
    <mergeCell ref="P155:S155"/>
    <mergeCell ref="B153:G153"/>
    <mergeCell ref="H153:O153"/>
    <mergeCell ref="P153:S153"/>
    <mergeCell ref="B154:G154"/>
    <mergeCell ref="H154:O154"/>
    <mergeCell ref="P154:S154"/>
    <mergeCell ref="B155:G155"/>
    <mergeCell ref="A139:E139"/>
    <mergeCell ref="A133:E138"/>
    <mergeCell ref="R133:V138"/>
    <mergeCell ref="B152:G152"/>
    <mergeCell ref="H152:O152"/>
    <mergeCell ref="P152:S152"/>
    <mergeCell ref="U139:V140"/>
    <mergeCell ref="A140:E140"/>
    <mergeCell ref="H159:O159"/>
    <mergeCell ref="P159:S159"/>
    <mergeCell ref="B156:G156"/>
    <mergeCell ref="H156:O156"/>
    <mergeCell ref="P156:S156"/>
    <mergeCell ref="B158:G158"/>
    <mergeCell ref="H157:O157"/>
    <mergeCell ref="P157:S157"/>
    <mergeCell ref="B159:D160"/>
    <mergeCell ref="E159:G159"/>
    <mergeCell ref="B148:G148"/>
    <mergeCell ref="H148:O148"/>
    <mergeCell ref="P148:S148"/>
    <mergeCell ref="B149:G149"/>
    <mergeCell ref="H149:O149"/>
    <mergeCell ref="P149:S149"/>
    <mergeCell ref="A16:V23"/>
    <mergeCell ref="A24:B24"/>
    <mergeCell ref="C24:E24"/>
    <mergeCell ref="F24:J24"/>
    <mergeCell ref="K24:M24"/>
    <mergeCell ref="N24:P24"/>
    <mergeCell ref="Q24:S24"/>
    <mergeCell ref="T24:V24"/>
    <mergeCell ref="A25:B25"/>
    <mergeCell ref="C25:E25"/>
    <mergeCell ref="F25:J25"/>
    <mergeCell ref="K25:M25"/>
    <mergeCell ref="N25:P25"/>
    <mergeCell ref="Q25:S25"/>
    <mergeCell ref="T25:V25"/>
    <mergeCell ref="A26:B26"/>
    <mergeCell ref="C26:E26"/>
    <mergeCell ref="F26:J26"/>
    <mergeCell ref="K26:M26"/>
    <mergeCell ref="N26:P26"/>
    <mergeCell ref="Q26:S26"/>
    <mergeCell ref="T26:V26"/>
    <mergeCell ref="A27:B27"/>
    <mergeCell ref="C27:E27"/>
    <mergeCell ref="F27:J27"/>
    <mergeCell ref="K27:M27"/>
    <mergeCell ref="N27:P27"/>
    <mergeCell ref="Q27:S27"/>
    <mergeCell ref="T27:V27"/>
    <mergeCell ref="A28:B28"/>
    <mergeCell ref="C28:E28"/>
    <mergeCell ref="F28:J28"/>
    <mergeCell ref="K28:M28"/>
    <mergeCell ref="N28:P28"/>
    <mergeCell ref="Q28:S28"/>
    <mergeCell ref="T28:V28"/>
    <mergeCell ref="A29:B29"/>
    <mergeCell ref="C29:E29"/>
    <mergeCell ref="F29:J29"/>
    <mergeCell ref="K29:M29"/>
    <mergeCell ref="N29:P29"/>
    <mergeCell ref="Q29:S29"/>
    <mergeCell ref="T29:V29"/>
    <mergeCell ref="A30:B30"/>
    <mergeCell ref="C30:E30"/>
    <mergeCell ref="F30:J30"/>
    <mergeCell ref="K30:M30"/>
    <mergeCell ref="N30:P30"/>
    <mergeCell ref="Q30:S30"/>
    <mergeCell ref="T30:V30"/>
    <mergeCell ref="A31:E31"/>
    <mergeCell ref="F31:V31"/>
    <mergeCell ref="A32:V34"/>
    <mergeCell ref="A35:V37"/>
    <mergeCell ref="F38:Q42"/>
    <mergeCell ref="A44:E44"/>
    <mergeCell ref="G44:H44"/>
    <mergeCell ref="I44:J44"/>
    <mergeCell ref="K44:L44"/>
    <mergeCell ref="N44:O44"/>
    <mergeCell ref="R44:R45"/>
    <mergeCell ref="S44:S45"/>
    <mergeCell ref="U44:V45"/>
    <mergeCell ref="A45:E45"/>
    <mergeCell ref="G45:H45"/>
    <mergeCell ref="I45:J45"/>
    <mergeCell ref="K45:L45"/>
    <mergeCell ref="N45:O45"/>
    <mergeCell ref="U196:V197"/>
    <mergeCell ref="A197:E197"/>
    <mergeCell ref="G197:H197"/>
    <mergeCell ref="I197:J197"/>
    <mergeCell ref="K197:L197"/>
    <mergeCell ref="N197:O197"/>
    <mergeCell ref="I92:J92"/>
    <mergeCell ref="K92:L92"/>
    <mergeCell ref="N92:O92"/>
    <mergeCell ref="G139:H139"/>
    <mergeCell ref="I139:J139"/>
    <mergeCell ref="K139:L139"/>
    <mergeCell ref="N139:O139"/>
    <mergeCell ref="R139:R140"/>
    <mergeCell ref="S139:S140"/>
    <mergeCell ref="G140:H140"/>
    <mergeCell ref="I140:J140"/>
    <mergeCell ref="K140:L140"/>
    <mergeCell ref="N140:O140"/>
    <mergeCell ref="B144:G145"/>
    <mergeCell ref="E160:G160"/>
    <mergeCell ref="H160:O160"/>
    <mergeCell ref="P160:S160"/>
    <mergeCell ref="F133:Q137"/>
    <mergeCell ref="F190:Q194"/>
    <mergeCell ref="A196:E196"/>
    <mergeCell ref="G196:H196"/>
    <mergeCell ref="I196:J196"/>
    <mergeCell ref="K196:L196"/>
    <mergeCell ref="N196:O196"/>
    <mergeCell ref="R196:R197"/>
    <mergeCell ref="S196:S197"/>
    <mergeCell ref="H168:O168"/>
    <mergeCell ref="P168:S168"/>
    <mergeCell ref="B170:G170"/>
    <mergeCell ref="H170:O170"/>
    <mergeCell ref="P170:S170"/>
    <mergeCell ref="B169:G169"/>
    <mergeCell ref="H169:O169"/>
    <mergeCell ref="P169:S169"/>
    <mergeCell ref="B166:E168"/>
    <mergeCell ref="F166:G166"/>
    <mergeCell ref="F167:G167"/>
    <mergeCell ref="F168:G168"/>
    <mergeCell ref="P174:S174"/>
    <mergeCell ref="B171:G171"/>
    <mergeCell ref="H171:O171"/>
    <mergeCell ref="P171:S171"/>
  </mergeCells>
  <phoneticPr fontId="43" type="noConversion"/>
  <printOptions horizontalCentered="1"/>
  <pageMargins left="9.8425196850393706E-2" right="9.8425196850393706E-2" top="0.19685039370078741" bottom="0" header="0.11811023622047245" footer="0.11811023622047245"/>
  <pageSetup paperSize="9" scale="78" orientation="portrait" r:id="rId1"/>
  <rowBreaks count="4" manualBreakCount="4">
    <brk id="37" max="21" man="1"/>
    <brk id="84" max="21" man="1"/>
    <brk id="132" max="21" man="1"/>
    <brk id="189" max="2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R491"/>
  <sheetViews>
    <sheetView view="pageBreakPreview" topLeftCell="A478" zoomScale="115" zoomScaleNormal="115" zoomScaleSheetLayoutView="115" workbookViewId="0">
      <selection activeCell="B189" sqref="B189:T194"/>
    </sheetView>
  </sheetViews>
  <sheetFormatPr defaultRowHeight="14.25"/>
  <cols>
    <col min="1" max="6" width="5.75" customWidth="1"/>
    <col min="7" max="7" width="7.375" customWidth="1"/>
    <col min="8" max="22" width="5.75" customWidth="1"/>
  </cols>
  <sheetData>
    <row r="1" spans="1:44"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44">
      <c r="A2" s="232"/>
      <c r="B2" s="233"/>
      <c r="C2" s="233"/>
      <c r="D2" s="233"/>
      <c r="E2" s="234"/>
      <c r="F2" s="161"/>
      <c r="G2" s="162"/>
      <c r="H2" s="162"/>
      <c r="I2" s="162"/>
      <c r="J2" s="162"/>
      <c r="K2" s="162"/>
      <c r="L2" s="162"/>
      <c r="M2" s="162"/>
      <c r="N2" s="162"/>
      <c r="O2" s="162"/>
      <c r="P2" s="162"/>
      <c r="Q2" s="163"/>
      <c r="R2" s="177"/>
      <c r="S2" s="177"/>
      <c r="T2" s="177"/>
      <c r="U2" s="177"/>
      <c r="V2" s="240"/>
    </row>
    <row r="3" spans="1:44">
      <c r="A3" s="232"/>
      <c r="B3" s="233"/>
      <c r="C3" s="233"/>
      <c r="D3" s="233"/>
      <c r="E3" s="234"/>
      <c r="F3" s="161"/>
      <c r="G3" s="162"/>
      <c r="H3" s="162"/>
      <c r="I3" s="162"/>
      <c r="J3" s="162"/>
      <c r="K3" s="162"/>
      <c r="L3" s="162"/>
      <c r="M3" s="162"/>
      <c r="N3" s="162"/>
      <c r="O3" s="162"/>
      <c r="P3" s="162"/>
      <c r="Q3" s="163"/>
      <c r="R3" s="177"/>
      <c r="S3" s="177"/>
      <c r="T3" s="177"/>
      <c r="U3" s="177"/>
      <c r="V3" s="240"/>
    </row>
    <row r="4" spans="1:44">
      <c r="A4" s="232"/>
      <c r="B4" s="233"/>
      <c r="C4" s="233"/>
      <c r="D4" s="233"/>
      <c r="E4" s="234"/>
      <c r="F4" s="161"/>
      <c r="G4" s="162"/>
      <c r="H4" s="162"/>
      <c r="I4" s="162"/>
      <c r="J4" s="162"/>
      <c r="K4" s="162"/>
      <c r="L4" s="162"/>
      <c r="M4" s="162"/>
      <c r="N4" s="162"/>
      <c r="O4" s="162"/>
      <c r="P4" s="162"/>
      <c r="Q4" s="163"/>
      <c r="R4" s="177"/>
      <c r="S4" s="177"/>
      <c r="T4" s="177"/>
      <c r="U4" s="177"/>
      <c r="V4" s="240"/>
    </row>
    <row r="5" spans="1:44">
      <c r="A5" s="232"/>
      <c r="B5" s="233"/>
      <c r="C5" s="233"/>
      <c r="D5" s="233"/>
      <c r="E5" s="234"/>
      <c r="F5" s="164"/>
      <c r="G5" s="165"/>
      <c r="H5" s="165"/>
      <c r="I5" s="165"/>
      <c r="J5" s="165"/>
      <c r="K5" s="165"/>
      <c r="L5" s="165"/>
      <c r="M5" s="165"/>
      <c r="N5" s="165"/>
      <c r="O5" s="165"/>
      <c r="P5" s="165"/>
      <c r="Q5" s="166"/>
      <c r="R5" s="177"/>
      <c r="S5" s="177"/>
      <c r="T5" s="177"/>
      <c r="U5" s="177"/>
      <c r="V5" s="240"/>
    </row>
    <row r="6" spans="1:44" ht="24"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44" ht="20.4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'Wind overturning stability'!R52</f>
        <v>29</v>
      </c>
      <c r="S7" s="174" t="s">
        <v>752</v>
      </c>
      <c r="T7" s="263">
        <f>'Wind overturning stability'!T52+1</f>
        <v>16</v>
      </c>
      <c r="U7" s="168" t="s">
        <v>753</v>
      </c>
      <c r="V7" s="188"/>
    </row>
    <row r="8" spans="1:44" ht="18.600000000000001"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'Wind overturning stability'!Q53</f>
        <v>V01</v>
      </c>
      <c r="R8" s="173"/>
      <c r="S8" s="175"/>
      <c r="T8" s="264"/>
      <c r="U8" s="189"/>
      <c r="V8" s="190"/>
    </row>
    <row r="9" spans="1:44" ht="15">
      <c r="A9" s="30"/>
      <c r="B9" s="30"/>
      <c r="C9" s="30"/>
      <c r="D9" s="30"/>
      <c r="E9" s="30"/>
      <c r="F9" s="30"/>
      <c r="G9" s="30"/>
      <c r="H9" s="30"/>
      <c r="I9" s="30"/>
      <c r="J9" s="30"/>
      <c r="K9" s="30"/>
      <c r="L9" s="30"/>
      <c r="M9" s="30"/>
      <c r="N9" s="30"/>
      <c r="O9" s="30"/>
      <c r="P9" s="30"/>
      <c r="Q9" s="30"/>
      <c r="R9" s="30"/>
      <c r="S9" s="30"/>
      <c r="T9" s="30"/>
      <c r="U9" s="30"/>
    </row>
    <row r="10" spans="1:44" ht="15" customHeight="1">
      <c r="A10" s="39" t="s">
        <v>639</v>
      </c>
      <c r="B10" s="39"/>
      <c r="C10" s="39"/>
      <c r="D10" s="39"/>
      <c r="E10" s="39"/>
      <c r="F10" s="39"/>
      <c r="G10" s="30"/>
      <c r="H10" s="30"/>
      <c r="I10" s="30"/>
      <c r="J10" s="30"/>
      <c r="K10" s="30"/>
      <c r="L10" s="30"/>
      <c r="M10" s="30"/>
      <c r="N10" s="30"/>
      <c r="O10" s="30"/>
      <c r="P10" s="30"/>
      <c r="Q10" s="30"/>
      <c r="R10" s="30"/>
      <c r="S10" s="30"/>
      <c r="T10" s="30"/>
      <c r="U10" s="30"/>
      <c r="AG10" s="23"/>
      <c r="AH10" s="23"/>
      <c r="AI10" s="23"/>
      <c r="AJ10" s="23"/>
      <c r="AK10" s="23"/>
      <c r="AL10" s="23"/>
      <c r="AM10" s="23"/>
      <c r="AN10" s="22"/>
      <c r="AO10" s="22"/>
      <c r="AP10" s="22"/>
      <c r="AQ10" s="22"/>
      <c r="AR10" s="22"/>
    </row>
    <row r="11" spans="1:44" ht="15" customHeight="1">
      <c r="A11" s="38"/>
      <c r="B11" s="38"/>
      <c r="C11" s="38"/>
      <c r="D11" s="38"/>
      <c r="E11" s="38"/>
      <c r="F11" s="38"/>
      <c r="G11" s="30"/>
      <c r="H11" s="30"/>
      <c r="I11" s="30"/>
      <c r="J11" s="30"/>
      <c r="K11" s="30"/>
      <c r="L11" s="30"/>
      <c r="M11" s="30"/>
      <c r="N11" s="30"/>
      <c r="O11" s="30"/>
      <c r="P11" s="30"/>
      <c r="Q11" s="30"/>
      <c r="R11" s="30"/>
      <c r="S11" s="30"/>
      <c r="T11" s="30"/>
      <c r="U11" s="30"/>
      <c r="AG11" s="23"/>
      <c r="AH11" s="23"/>
      <c r="AI11" s="23"/>
      <c r="AJ11" s="23"/>
      <c r="AK11" s="23"/>
      <c r="AL11" s="23"/>
      <c r="AM11" s="23"/>
      <c r="AN11" s="22"/>
      <c r="AO11" s="22"/>
      <c r="AP11" s="22"/>
      <c r="AQ11" s="22"/>
      <c r="AR11" s="22"/>
    </row>
    <row r="12" spans="1:44" ht="15">
      <c r="A12" s="378" t="s">
        <v>313</v>
      </c>
      <c r="B12" s="378"/>
      <c r="C12" s="378"/>
      <c r="D12" s="378"/>
      <c r="E12" s="378"/>
      <c r="F12" s="378"/>
      <c r="G12" s="378"/>
      <c r="H12" s="30"/>
      <c r="I12" s="30"/>
      <c r="J12" s="30"/>
      <c r="K12" s="30"/>
      <c r="L12" s="30"/>
      <c r="M12" s="30"/>
      <c r="N12" s="30"/>
      <c r="O12" s="30"/>
      <c r="P12" s="30"/>
      <c r="Q12" s="30"/>
      <c r="R12" s="30"/>
      <c r="S12" s="30"/>
      <c r="T12" s="30"/>
      <c r="U12" s="30"/>
      <c r="AG12" s="24"/>
      <c r="AH12" s="24"/>
      <c r="AI12" s="24"/>
      <c r="AJ12" s="24"/>
      <c r="AK12" s="24"/>
      <c r="AL12" s="24"/>
      <c r="AM12" s="24"/>
      <c r="AN12" s="22"/>
      <c r="AO12" s="22"/>
      <c r="AP12" s="22"/>
      <c r="AQ12" s="22"/>
      <c r="AR12" s="22"/>
    </row>
    <row r="13" spans="1:44" ht="15">
      <c r="A13" s="378"/>
      <c r="B13" s="378"/>
      <c r="C13" s="378"/>
      <c r="D13" s="378"/>
      <c r="E13" s="378"/>
      <c r="F13" s="378"/>
      <c r="G13" s="378"/>
      <c r="H13" s="30"/>
      <c r="I13" s="30"/>
      <c r="J13" s="30"/>
      <c r="K13" s="30"/>
      <c r="L13" s="30"/>
      <c r="M13" s="30"/>
      <c r="N13" s="30"/>
      <c r="O13" s="30"/>
      <c r="P13" s="30"/>
      <c r="Q13" s="30"/>
      <c r="R13" s="30"/>
      <c r="S13" s="30"/>
      <c r="T13" s="30"/>
      <c r="U13" s="30"/>
      <c r="AG13" s="25"/>
      <c r="AH13" s="25"/>
      <c r="AI13" s="25"/>
      <c r="AJ13" s="25"/>
      <c r="AK13" s="25"/>
      <c r="AL13" s="25"/>
      <c r="AM13" s="25"/>
      <c r="AN13" s="24"/>
      <c r="AO13" s="24"/>
      <c r="AP13" s="24"/>
      <c r="AQ13" s="24"/>
      <c r="AR13" s="24"/>
    </row>
    <row r="14" spans="1:44" ht="15">
      <c r="A14" s="30"/>
      <c r="B14" s="177" t="s">
        <v>467</v>
      </c>
      <c r="C14" s="177"/>
      <c r="D14" s="177"/>
      <c r="E14" s="177"/>
      <c r="F14" s="177"/>
      <c r="G14" s="177"/>
      <c r="H14" s="177"/>
      <c r="I14" s="177"/>
      <c r="J14" s="177"/>
      <c r="K14" s="177"/>
      <c r="L14" s="177"/>
      <c r="M14" s="177"/>
      <c r="N14" s="177"/>
      <c r="O14" s="177"/>
      <c r="P14" s="177"/>
      <c r="Q14" s="177"/>
      <c r="R14" s="177"/>
      <c r="S14" s="177"/>
      <c r="T14" s="30"/>
      <c r="U14" s="30"/>
      <c r="AG14" s="25"/>
      <c r="AH14" s="25"/>
      <c r="AI14" s="25"/>
      <c r="AJ14" s="25"/>
      <c r="AK14" s="25"/>
      <c r="AL14" s="25"/>
      <c r="AM14" s="25"/>
      <c r="AN14" s="24"/>
      <c r="AO14" s="24"/>
      <c r="AP14" s="24"/>
      <c r="AQ14" s="24"/>
      <c r="AR14" s="24"/>
    </row>
    <row r="15" spans="1:44" ht="15">
      <c r="A15" s="30"/>
      <c r="B15" s="555" t="s">
        <v>314</v>
      </c>
      <c r="C15" s="555"/>
      <c r="D15" s="555"/>
      <c r="E15" s="555"/>
      <c r="F15" s="555"/>
      <c r="G15" s="555"/>
      <c r="H15" s="555"/>
      <c r="I15" s="555"/>
      <c r="J15" s="555"/>
      <c r="K15" s="555"/>
      <c r="L15" s="555"/>
      <c r="M15" s="555"/>
      <c r="N15" s="555"/>
      <c r="O15" s="555"/>
      <c r="P15" s="555"/>
      <c r="Q15" s="176" t="s">
        <v>34</v>
      </c>
      <c r="R15" s="176"/>
      <c r="S15" s="34"/>
      <c r="T15" s="30"/>
      <c r="U15" s="30"/>
    </row>
    <row r="16" spans="1:44" ht="409.5">
      <c r="A16" s="157" t="s">
        <v>901</v>
      </c>
      <c r="B16" s="555" t="s">
        <v>315</v>
      </c>
      <c r="C16" s="555"/>
      <c r="D16" s="555"/>
      <c r="E16" s="555"/>
      <c r="F16" s="555"/>
      <c r="G16" s="555"/>
      <c r="H16" s="555"/>
      <c r="I16" s="555"/>
      <c r="J16" s="555"/>
      <c r="K16" s="555"/>
      <c r="L16" s="555"/>
      <c r="M16" s="555"/>
      <c r="N16" s="555"/>
      <c r="O16" s="555"/>
      <c r="P16" s="555"/>
      <c r="Q16" s="176">
        <f>COVER!H176</f>
        <v>1.25</v>
      </c>
      <c r="R16" s="176"/>
      <c r="S16" s="34"/>
      <c r="T16" s="30"/>
      <c r="U16" s="30"/>
    </row>
    <row r="17" spans="1:21" ht="15">
      <c r="A17" s="30"/>
      <c r="B17" s="569" t="s">
        <v>316</v>
      </c>
      <c r="C17" s="569"/>
      <c r="D17" s="569"/>
      <c r="E17" s="569"/>
      <c r="F17" s="569"/>
      <c r="G17" s="569"/>
      <c r="H17" s="569"/>
      <c r="I17" s="569"/>
      <c r="J17" s="569"/>
      <c r="K17" s="569"/>
      <c r="L17" s="569"/>
      <c r="M17" s="569"/>
      <c r="N17" s="569"/>
      <c r="O17" s="569"/>
      <c r="P17" s="569"/>
      <c r="Q17" s="176">
        <v>4</v>
      </c>
      <c r="R17" s="176"/>
      <c r="S17" s="34"/>
      <c r="T17" s="30"/>
      <c r="U17" s="30"/>
    </row>
    <row r="18" spans="1:21" ht="15">
      <c r="A18" s="30"/>
      <c r="B18" s="569" t="s">
        <v>317</v>
      </c>
      <c r="C18" s="569"/>
      <c r="D18" s="569"/>
      <c r="E18" s="569"/>
      <c r="F18" s="569"/>
      <c r="G18" s="569"/>
      <c r="H18" s="569"/>
      <c r="I18" s="569"/>
      <c r="J18" s="569"/>
      <c r="K18" s="569"/>
      <c r="L18" s="569"/>
      <c r="M18" s="569"/>
      <c r="N18" s="569"/>
      <c r="O18" s="569"/>
      <c r="P18" s="569"/>
      <c r="Q18" s="176">
        <v>2</v>
      </c>
      <c r="R18" s="176"/>
      <c r="S18" s="34"/>
      <c r="T18" s="30"/>
      <c r="U18" s="30"/>
    </row>
    <row r="19" spans="1:21" ht="15">
      <c r="A19" s="30"/>
      <c r="B19" s="555" t="s">
        <v>318</v>
      </c>
      <c r="C19" s="555"/>
      <c r="D19" s="555"/>
      <c r="E19" s="555"/>
      <c r="F19" s="555"/>
      <c r="G19" s="555"/>
      <c r="H19" s="555"/>
      <c r="I19" s="555"/>
      <c r="J19" s="555"/>
      <c r="K19" s="555"/>
      <c r="L19" s="555"/>
      <c r="M19" s="555"/>
      <c r="N19" s="555"/>
      <c r="O19" s="555"/>
      <c r="P19" s="555"/>
      <c r="Q19" s="176">
        <v>0.3</v>
      </c>
      <c r="R19" s="176"/>
      <c r="S19" s="34"/>
      <c r="T19" s="30"/>
      <c r="U19" s="30"/>
    </row>
    <row r="20" spans="1:21" ht="15">
      <c r="A20" s="30"/>
      <c r="B20" s="555" t="s">
        <v>319</v>
      </c>
      <c r="C20" s="555"/>
      <c r="D20" s="555"/>
      <c r="E20" s="555"/>
      <c r="F20" s="555"/>
      <c r="G20" s="555"/>
      <c r="H20" s="555"/>
      <c r="I20" s="555"/>
      <c r="J20" s="555"/>
      <c r="K20" s="555"/>
      <c r="L20" s="555"/>
      <c r="M20" s="555"/>
      <c r="N20" s="555"/>
      <c r="O20" s="555"/>
      <c r="P20" s="555"/>
      <c r="Q20" s="187">
        <v>4</v>
      </c>
      <c r="R20" s="187"/>
      <c r="S20" s="28" t="s">
        <v>323</v>
      </c>
      <c r="T20" s="30"/>
      <c r="U20" s="30"/>
    </row>
    <row r="21" spans="1:21" ht="15">
      <c r="A21" s="30"/>
      <c r="B21" s="555" t="s">
        <v>320</v>
      </c>
      <c r="C21" s="555"/>
      <c r="D21" s="555"/>
      <c r="E21" s="555"/>
      <c r="F21" s="555"/>
      <c r="G21" s="555"/>
      <c r="H21" s="555"/>
      <c r="I21" s="555"/>
      <c r="J21" s="555"/>
      <c r="K21" s="555"/>
      <c r="L21" s="555"/>
      <c r="M21" s="555"/>
      <c r="N21" s="555"/>
      <c r="O21" s="555"/>
      <c r="P21" s="555"/>
      <c r="Q21" s="568">
        <f>(Q22*Q30)/(Q23*Q31)</f>
        <v>0.54382222222222221</v>
      </c>
      <c r="R21" s="568"/>
      <c r="S21" s="28" t="s">
        <v>323</v>
      </c>
      <c r="T21" s="30"/>
      <c r="U21" s="30"/>
    </row>
    <row r="22" spans="1:21" ht="15">
      <c r="A22" s="30"/>
      <c r="B22" s="555" t="s">
        <v>321</v>
      </c>
      <c r="C22" s="555"/>
      <c r="D22" s="555"/>
      <c r="E22" s="555"/>
      <c r="F22" s="555"/>
      <c r="G22" s="555"/>
      <c r="H22" s="555"/>
      <c r="I22" s="555"/>
      <c r="J22" s="555"/>
      <c r="K22" s="555"/>
      <c r="L22" s="555"/>
      <c r="M22" s="555"/>
      <c r="N22" s="555"/>
      <c r="O22" s="555"/>
      <c r="P22" s="555"/>
      <c r="Q22" s="176">
        <f>COVER!H180</f>
        <v>1.33</v>
      </c>
      <c r="R22" s="176"/>
      <c r="S22" s="34"/>
      <c r="T22" s="30"/>
      <c r="U22" s="30"/>
    </row>
    <row r="23" spans="1:21" ht="15">
      <c r="A23" s="30"/>
      <c r="B23" s="555" t="s">
        <v>322</v>
      </c>
      <c r="C23" s="555"/>
      <c r="D23" s="555"/>
      <c r="E23" s="555"/>
      <c r="F23" s="555"/>
      <c r="G23" s="555"/>
      <c r="H23" s="555"/>
      <c r="I23" s="555"/>
      <c r="J23" s="555"/>
      <c r="K23" s="555"/>
      <c r="L23" s="555"/>
      <c r="M23" s="555"/>
      <c r="N23" s="555"/>
      <c r="O23" s="555"/>
      <c r="P23" s="555"/>
      <c r="Q23" s="176">
        <f>COVER!H179</f>
        <v>1</v>
      </c>
      <c r="R23" s="176"/>
      <c r="S23" s="34"/>
      <c r="T23" s="30"/>
      <c r="U23" s="30"/>
    </row>
    <row r="24" spans="1:21" ht="15">
      <c r="A24" s="30"/>
      <c r="B24" s="555" t="s">
        <v>332</v>
      </c>
      <c r="C24" s="555"/>
      <c r="D24" s="555"/>
      <c r="E24" s="555"/>
      <c r="F24" s="555"/>
      <c r="G24" s="555"/>
      <c r="H24" s="555"/>
      <c r="I24" s="555"/>
      <c r="J24" s="555"/>
      <c r="K24" s="555"/>
      <c r="L24" s="555"/>
      <c r="M24" s="555"/>
      <c r="N24" s="555"/>
      <c r="O24" s="555"/>
      <c r="P24" s="555"/>
      <c r="Q24" s="567">
        <f>0.578/(TANH((3.68*Q35)/Q34))^0.5</f>
        <v>0.58197835078068305</v>
      </c>
      <c r="R24" s="567"/>
      <c r="S24" s="34"/>
      <c r="T24" s="30"/>
      <c r="U24" s="30"/>
    </row>
    <row r="25" spans="1:21" ht="15">
      <c r="A25" s="30"/>
      <c r="B25" s="555" t="s">
        <v>333</v>
      </c>
      <c r="C25" s="555"/>
      <c r="D25" s="555"/>
      <c r="E25" s="555"/>
      <c r="F25" s="555"/>
      <c r="G25" s="555"/>
      <c r="H25" s="555"/>
      <c r="I25" s="555"/>
      <c r="J25" s="555"/>
      <c r="K25" s="555"/>
      <c r="L25" s="555"/>
      <c r="M25" s="555"/>
      <c r="N25" s="555"/>
      <c r="O25" s="555"/>
      <c r="P25" s="555"/>
      <c r="Q25" s="556">
        <f>1.8*Q24*(Q34)^0.5</f>
        <v>3.7770350129094972</v>
      </c>
      <c r="R25" s="556"/>
      <c r="S25" s="28" t="s">
        <v>323</v>
      </c>
      <c r="T25" s="30"/>
      <c r="U25" s="30"/>
    </row>
    <row r="26" spans="1:21" ht="15">
      <c r="A26" s="30"/>
      <c r="B26" s="555" t="s">
        <v>324</v>
      </c>
      <c r="C26" s="555"/>
      <c r="D26" s="555"/>
      <c r="E26" s="555"/>
      <c r="F26" s="555"/>
      <c r="G26" s="555"/>
      <c r="H26" s="555"/>
      <c r="I26" s="555"/>
      <c r="J26" s="555"/>
      <c r="K26" s="555"/>
      <c r="L26" s="555"/>
      <c r="M26" s="555"/>
      <c r="N26" s="555"/>
      <c r="O26" s="555"/>
      <c r="P26" s="555"/>
      <c r="Q26" s="176">
        <v>1.5</v>
      </c>
      <c r="R26" s="176"/>
      <c r="S26" s="34"/>
      <c r="T26" s="30"/>
      <c r="U26" s="30"/>
    </row>
    <row r="27" spans="1:21" ht="15">
      <c r="A27" s="30"/>
      <c r="B27" s="555" t="s">
        <v>325</v>
      </c>
      <c r="C27" s="555"/>
      <c r="D27" s="555"/>
      <c r="E27" s="555"/>
      <c r="F27" s="555"/>
      <c r="G27" s="555"/>
      <c r="H27" s="555"/>
      <c r="I27" s="555"/>
      <c r="J27" s="555"/>
      <c r="K27" s="555"/>
      <c r="L27" s="555"/>
      <c r="M27" s="555"/>
      <c r="N27" s="555"/>
      <c r="O27" s="555"/>
      <c r="P27" s="555"/>
      <c r="Q27" s="176">
        <v>0.67</v>
      </c>
      <c r="R27" s="176"/>
      <c r="S27" s="34"/>
      <c r="T27" s="30"/>
      <c r="U27" s="30"/>
    </row>
    <row r="28" spans="1:21" ht="15.75">
      <c r="A28" s="30"/>
      <c r="B28" s="553" t="s">
        <v>326</v>
      </c>
      <c r="C28" s="554"/>
      <c r="D28" s="554"/>
      <c r="E28" s="554"/>
      <c r="F28" s="554"/>
      <c r="G28" s="554"/>
      <c r="H28" s="554"/>
      <c r="I28" s="554"/>
      <c r="J28" s="554"/>
      <c r="K28" s="554"/>
      <c r="L28" s="554"/>
      <c r="M28" s="554"/>
      <c r="N28" s="554"/>
      <c r="O28" s="554"/>
      <c r="P28" s="554"/>
      <c r="Q28" s="176">
        <v>0.33</v>
      </c>
      <c r="R28" s="176"/>
      <c r="S28" s="28" t="s">
        <v>327</v>
      </c>
      <c r="T28" s="30"/>
      <c r="U28" s="30"/>
    </row>
    <row r="29" spans="1:21" ht="15">
      <c r="A29" s="30"/>
      <c r="B29" s="555" t="s">
        <v>328</v>
      </c>
      <c r="C29" s="555"/>
      <c r="D29" s="555"/>
      <c r="E29" s="555"/>
      <c r="F29" s="555"/>
      <c r="G29" s="555"/>
      <c r="H29" s="555"/>
      <c r="I29" s="555"/>
      <c r="J29" s="555"/>
      <c r="K29" s="555"/>
      <c r="L29" s="555"/>
      <c r="M29" s="555"/>
      <c r="N29" s="555"/>
      <c r="O29" s="555"/>
      <c r="P29" s="555"/>
      <c r="Q29" s="176">
        <f>Q28</f>
        <v>0.33</v>
      </c>
      <c r="R29" s="176"/>
      <c r="S29" s="28" t="s">
        <v>327</v>
      </c>
      <c r="T29" s="30"/>
      <c r="U29" s="30"/>
    </row>
    <row r="30" spans="1:21" ht="15">
      <c r="A30" s="30"/>
      <c r="B30" s="555" t="s">
        <v>334</v>
      </c>
      <c r="C30" s="555"/>
      <c r="D30" s="555"/>
      <c r="E30" s="555"/>
      <c r="F30" s="555"/>
      <c r="G30" s="555"/>
      <c r="H30" s="555"/>
      <c r="I30" s="555"/>
      <c r="J30" s="555"/>
      <c r="K30" s="555"/>
      <c r="L30" s="555"/>
      <c r="M30" s="555"/>
      <c r="N30" s="555"/>
      <c r="O30" s="555"/>
      <c r="P30" s="555"/>
      <c r="Q30" s="176">
        <f>COVER!H178</f>
        <v>0.46</v>
      </c>
      <c r="R30" s="176"/>
      <c r="S30" s="34"/>
      <c r="T30" s="30"/>
      <c r="U30" s="30"/>
    </row>
    <row r="31" spans="1:21" ht="15">
      <c r="A31" s="30"/>
      <c r="B31" s="555" t="s">
        <v>329</v>
      </c>
      <c r="C31" s="555"/>
      <c r="D31" s="555"/>
      <c r="E31" s="555"/>
      <c r="F31" s="555"/>
      <c r="G31" s="555"/>
      <c r="H31" s="555"/>
      <c r="I31" s="555"/>
      <c r="J31" s="555"/>
      <c r="K31" s="555"/>
      <c r="L31" s="555"/>
      <c r="M31" s="555"/>
      <c r="N31" s="555"/>
      <c r="O31" s="555"/>
      <c r="P31" s="555"/>
      <c r="Q31" s="176">
        <f>COVER!H177</f>
        <v>1.125</v>
      </c>
      <c r="R31" s="176"/>
      <c r="S31" s="34"/>
      <c r="T31" s="30"/>
      <c r="U31" s="30"/>
    </row>
    <row r="32" spans="1:21" ht="15">
      <c r="A32" s="30"/>
      <c r="B32" s="330" t="s">
        <v>897</v>
      </c>
      <c r="C32" s="330"/>
      <c r="D32" s="330"/>
      <c r="E32" s="330"/>
      <c r="F32" s="330"/>
      <c r="G32" s="330"/>
      <c r="H32" s="330"/>
      <c r="I32" s="330"/>
      <c r="J32" s="330"/>
      <c r="K32" s="330"/>
      <c r="L32" s="330"/>
      <c r="M32" s="330"/>
      <c r="N32" s="330"/>
      <c r="O32" s="330"/>
      <c r="P32" s="330"/>
      <c r="Q32" s="567">
        <f>Q27*Q23*Q31</f>
        <v>0.75375000000000003</v>
      </c>
      <c r="R32" s="567"/>
      <c r="S32" s="34"/>
      <c r="T32" s="30"/>
      <c r="U32" s="30"/>
    </row>
    <row r="33" spans="1:21" ht="15">
      <c r="A33" s="30"/>
      <c r="B33" s="555" t="s">
        <v>335</v>
      </c>
      <c r="C33" s="555"/>
      <c r="D33" s="555"/>
      <c r="E33" s="555"/>
      <c r="F33" s="555"/>
      <c r="G33" s="555"/>
      <c r="H33" s="555"/>
      <c r="I33" s="555"/>
      <c r="J33" s="555"/>
      <c r="K33" s="555"/>
      <c r="L33" s="555"/>
      <c r="M33" s="555"/>
      <c r="N33" s="555"/>
      <c r="O33" s="555"/>
      <c r="P33" s="555"/>
      <c r="Q33" s="568">
        <v>0.41</v>
      </c>
      <c r="R33" s="568"/>
      <c r="S33" s="34"/>
      <c r="T33" s="30"/>
      <c r="U33" s="30"/>
    </row>
    <row r="34" spans="1:21" ht="15">
      <c r="A34" s="30"/>
      <c r="B34" s="555" t="s">
        <v>330</v>
      </c>
      <c r="C34" s="555"/>
      <c r="D34" s="555"/>
      <c r="E34" s="555"/>
      <c r="F34" s="555"/>
      <c r="G34" s="555"/>
      <c r="H34" s="555"/>
      <c r="I34" s="555"/>
      <c r="J34" s="555"/>
      <c r="K34" s="555"/>
      <c r="L34" s="555"/>
      <c r="M34" s="555"/>
      <c r="N34" s="555"/>
      <c r="O34" s="555"/>
      <c r="P34" s="555"/>
      <c r="Q34" s="176">
        <f>(COVER!H153)/1000</f>
        <v>13</v>
      </c>
      <c r="R34" s="176"/>
      <c r="S34" s="28" t="s">
        <v>258</v>
      </c>
      <c r="T34" s="30"/>
      <c r="U34" s="30"/>
    </row>
    <row r="35" spans="1:21" ht="15">
      <c r="A35" s="30" t="s">
        <v>902</v>
      </c>
      <c r="B35" s="555" t="s">
        <v>695</v>
      </c>
      <c r="C35" s="555"/>
      <c r="D35" s="555"/>
      <c r="E35" s="555"/>
      <c r="F35" s="555"/>
      <c r="G35" s="555"/>
      <c r="H35" s="555"/>
      <c r="I35" s="555"/>
      <c r="J35" s="555"/>
      <c r="K35" s="555"/>
      <c r="L35" s="555"/>
      <c r="M35" s="555"/>
      <c r="N35" s="555"/>
      <c r="O35" s="555"/>
      <c r="P35" s="555"/>
      <c r="Q35" s="176">
        <v>8.8000000000000007</v>
      </c>
      <c r="R35" s="176"/>
      <c r="S35" s="28" t="s">
        <v>258</v>
      </c>
      <c r="T35" s="30"/>
      <c r="U35" s="30"/>
    </row>
    <row r="36" spans="1:21" ht="15">
      <c r="A36" s="30"/>
      <c r="B36" s="555" t="s">
        <v>331</v>
      </c>
      <c r="C36" s="555"/>
      <c r="D36" s="555"/>
      <c r="E36" s="555"/>
      <c r="F36" s="555"/>
      <c r="G36" s="555"/>
      <c r="H36" s="555"/>
      <c r="I36" s="555"/>
      <c r="J36" s="555"/>
      <c r="K36" s="555"/>
      <c r="L36" s="555"/>
      <c r="M36" s="555"/>
      <c r="N36" s="555"/>
      <c r="O36" s="555"/>
      <c r="P36" s="555"/>
      <c r="Q36" s="176">
        <f>COVER!H165</f>
        <v>1</v>
      </c>
      <c r="R36" s="176"/>
      <c r="S36" s="34"/>
      <c r="T36" s="30"/>
      <c r="U36" s="30"/>
    </row>
    <row r="37" spans="1:21">
      <c r="B37" s="505"/>
      <c r="C37" s="505"/>
      <c r="D37" s="505"/>
      <c r="E37" s="505"/>
      <c r="F37" s="505"/>
      <c r="G37" s="505"/>
      <c r="H37" s="505"/>
      <c r="I37" s="505"/>
      <c r="J37" s="505"/>
      <c r="K37" s="505"/>
      <c r="L37" s="505"/>
      <c r="M37" s="505"/>
      <c r="N37" s="505"/>
      <c r="O37" s="505"/>
      <c r="P37" s="505"/>
      <c r="Q37" s="505"/>
      <c r="R37" s="505"/>
      <c r="S37" s="505"/>
    </row>
    <row r="38" spans="1:21">
      <c r="B38" s="353"/>
      <c r="C38" s="353"/>
      <c r="D38" s="353"/>
      <c r="E38" s="353"/>
      <c r="F38" s="353"/>
      <c r="G38" s="353"/>
      <c r="H38" s="353"/>
      <c r="I38" s="353"/>
      <c r="J38" s="353"/>
      <c r="K38" s="353"/>
      <c r="L38" s="353"/>
      <c r="M38" s="353"/>
      <c r="N38" s="353"/>
      <c r="O38" s="353"/>
      <c r="P38" s="353"/>
      <c r="Q38" s="353"/>
      <c r="R38" s="353"/>
      <c r="S38" s="353"/>
    </row>
    <row r="39" spans="1:21">
      <c r="B39" s="353"/>
      <c r="C39" s="353"/>
      <c r="D39" s="353"/>
      <c r="E39" s="353"/>
      <c r="F39" s="353"/>
      <c r="G39" s="353"/>
      <c r="H39" s="353"/>
      <c r="I39" s="353"/>
      <c r="J39" s="353"/>
      <c r="K39" s="353"/>
      <c r="L39" s="353"/>
      <c r="M39" s="353"/>
      <c r="N39" s="353"/>
      <c r="O39" s="353"/>
      <c r="P39" s="353"/>
      <c r="Q39" s="353"/>
      <c r="R39" s="353"/>
      <c r="S39" s="353"/>
    </row>
    <row r="40" spans="1:21">
      <c r="B40" s="353"/>
      <c r="C40" s="353"/>
      <c r="D40" s="353"/>
      <c r="E40" s="353"/>
      <c r="F40" s="353"/>
      <c r="G40" s="353"/>
      <c r="H40" s="353"/>
      <c r="I40" s="353"/>
      <c r="J40" s="353"/>
      <c r="K40" s="353"/>
      <c r="L40" s="353"/>
      <c r="M40" s="353"/>
      <c r="N40" s="353"/>
      <c r="O40" s="353"/>
      <c r="P40" s="353"/>
      <c r="Q40" s="353"/>
      <c r="R40" s="353"/>
      <c r="S40" s="353"/>
    </row>
    <row r="41" spans="1:21">
      <c r="B41" s="353"/>
      <c r="C41" s="353"/>
      <c r="D41" s="353"/>
      <c r="E41" s="353"/>
      <c r="F41" s="353"/>
      <c r="G41" s="353"/>
      <c r="H41" s="353"/>
      <c r="I41" s="353"/>
      <c r="J41" s="353"/>
      <c r="K41" s="353"/>
      <c r="L41" s="353"/>
      <c r="M41" s="353"/>
      <c r="N41" s="353"/>
      <c r="O41" s="353"/>
      <c r="P41" s="353"/>
      <c r="Q41" s="353"/>
      <c r="R41" s="353"/>
      <c r="S41" s="353"/>
    </row>
    <row r="42" spans="1:21">
      <c r="B42" s="353"/>
      <c r="C42" s="353"/>
      <c r="D42" s="353"/>
      <c r="E42" s="353"/>
      <c r="F42" s="353"/>
      <c r="G42" s="353"/>
      <c r="H42" s="353"/>
      <c r="I42" s="353"/>
      <c r="J42" s="353"/>
      <c r="K42" s="353"/>
      <c r="L42" s="353"/>
      <c r="M42" s="353"/>
      <c r="N42" s="353"/>
      <c r="O42" s="353"/>
      <c r="P42" s="353"/>
      <c r="Q42" s="353"/>
      <c r="R42" s="353"/>
      <c r="S42" s="353"/>
    </row>
    <row r="43" spans="1:21">
      <c r="B43" s="353"/>
      <c r="C43" s="353"/>
      <c r="D43" s="353"/>
      <c r="E43" s="353"/>
      <c r="F43" s="353"/>
      <c r="G43" s="353"/>
      <c r="H43" s="353"/>
      <c r="I43" s="353"/>
      <c r="J43" s="353"/>
      <c r="K43" s="353"/>
      <c r="L43" s="353"/>
      <c r="M43" s="353"/>
      <c r="N43" s="353"/>
      <c r="O43" s="353"/>
      <c r="P43" s="353"/>
      <c r="Q43" s="353"/>
      <c r="R43" s="353"/>
      <c r="S43" s="353"/>
    </row>
    <row r="44" spans="1:21">
      <c r="B44" s="353"/>
      <c r="C44" s="353"/>
      <c r="D44" s="353"/>
      <c r="E44" s="353"/>
      <c r="F44" s="353"/>
      <c r="G44" s="353"/>
      <c r="H44" s="353"/>
      <c r="I44" s="353"/>
      <c r="J44" s="353"/>
      <c r="K44" s="353"/>
      <c r="L44" s="353"/>
      <c r="M44" s="353"/>
      <c r="N44" s="353"/>
      <c r="O44" s="353"/>
      <c r="P44" s="353"/>
      <c r="Q44" s="353"/>
      <c r="R44" s="353"/>
      <c r="S44" s="353"/>
    </row>
    <row r="45" spans="1:21">
      <c r="B45" s="353"/>
      <c r="C45" s="353"/>
      <c r="D45" s="353"/>
      <c r="E45" s="353"/>
      <c r="F45" s="353"/>
      <c r="G45" s="353"/>
      <c r="H45" s="353"/>
      <c r="I45" s="353"/>
      <c r="J45" s="353"/>
      <c r="K45" s="353"/>
      <c r="L45" s="353"/>
      <c r="M45" s="353"/>
      <c r="N45" s="353"/>
      <c r="O45" s="353"/>
      <c r="P45" s="353"/>
      <c r="Q45" s="353"/>
      <c r="R45" s="353"/>
      <c r="S45" s="353"/>
    </row>
    <row r="46" spans="1:21">
      <c r="B46" s="353"/>
      <c r="C46" s="353"/>
      <c r="D46" s="353"/>
      <c r="E46" s="353"/>
      <c r="F46" s="353"/>
      <c r="G46" s="353"/>
      <c r="H46" s="353"/>
      <c r="I46" s="353"/>
      <c r="J46" s="353"/>
      <c r="K46" s="353"/>
      <c r="L46" s="353"/>
      <c r="M46" s="353"/>
      <c r="N46" s="353"/>
      <c r="O46" s="353"/>
      <c r="P46" s="353"/>
      <c r="Q46" s="353"/>
      <c r="R46" s="353"/>
      <c r="S46" s="353"/>
    </row>
    <row r="47" spans="1:21">
      <c r="B47" s="353"/>
      <c r="C47" s="353"/>
      <c r="D47" s="353"/>
      <c r="E47" s="353"/>
      <c r="F47" s="353"/>
      <c r="G47" s="353"/>
      <c r="H47" s="353"/>
      <c r="I47" s="353"/>
      <c r="J47" s="353"/>
      <c r="K47" s="353"/>
      <c r="L47" s="353"/>
      <c r="M47" s="353"/>
      <c r="N47" s="353"/>
      <c r="O47" s="353"/>
      <c r="P47" s="353"/>
      <c r="Q47" s="353"/>
      <c r="R47" s="353"/>
      <c r="S47" s="353"/>
    </row>
    <row r="48" spans="1:21">
      <c r="B48" s="353"/>
      <c r="C48" s="353"/>
      <c r="D48" s="353"/>
      <c r="E48" s="353"/>
      <c r="F48" s="353"/>
      <c r="G48" s="353"/>
      <c r="H48" s="353"/>
      <c r="I48" s="353"/>
      <c r="J48" s="353"/>
      <c r="K48" s="353"/>
      <c r="L48" s="353"/>
      <c r="M48" s="353"/>
      <c r="N48" s="353"/>
      <c r="O48" s="353"/>
      <c r="P48" s="353"/>
      <c r="Q48" s="353"/>
      <c r="R48" s="353"/>
      <c r="S48" s="353"/>
    </row>
    <row r="49" spans="1:22">
      <c r="B49" s="353"/>
      <c r="C49" s="353"/>
      <c r="D49" s="353"/>
      <c r="E49" s="353"/>
      <c r="F49" s="353"/>
      <c r="G49" s="353"/>
      <c r="H49" s="353"/>
      <c r="I49" s="353"/>
      <c r="J49" s="353"/>
      <c r="K49" s="353"/>
      <c r="L49" s="353"/>
      <c r="M49" s="353"/>
      <c r="N49" s="353"/>
      <c r="O49" s="353"/>
      <c r="P49" s="353"/>
      <c r="Q49" s="353"/>
      <c r="R49" s="353"/>
      <c r="S49" s="353"/>
    </row>
    <row r="50" spans="1:22">
      <c r="B50" s="353"/>
      <c r="C50" s="353"/>
      <c r="D50" s="353"/>
      <c r="E50" s="353"/>
      <c r="F50" s="353"/>
      <c r="G50" s="353"/>
      <c r="H50" s="353"/>
      <c r="I50" s="353"/>
      <c r="J50" s="353"/>
      <c r="K50" s="353"/>
      <c r="L50" s="353"/>
      <c r="M50" s="353"/>
      <c r="N50" s="353"/>
      <c r="O50" s="353"/>
      <c r="P50" s="353"/>
      <c r="Q50" s="353"/>
      <c r="R50" s="353"/>
      <c r="S50" s="353"/>
    </row>
    <row r="51" spans="1:22">
      <c r="B51" s="353"/>
      <c r="C51" s="353"/>
      <c r="D51" s="353"/>
      <c r="E51" s="353"/>
      <c r="F51" s="353"/>
      <c r="G51" s="353"/>
      <c r="H51" s="353"/>
      <c r="I51" s="353"/>
      <c r="J51" s="353"/>
      <c r="K51" s="353"/>
      <c r="L51" s="353"/>
      <c r="M51" s="353"/>
      <c r="N51" s="353"/>
      <c r="O51" s="353"/>
      <c r="P51" s="353"/>
      <c r="Q51" s="353"/>
      <c r="R51" s="353"/>
      <c r="S51" s="353"/>
    </row>
    <row r="52" spans="1:22">
      <c r="B52" s="353"/>
      <c r="C52" s="353"/>
      <c r="D52" s="353"/>
      <c r="E52" s="353"/>
      <c r="F52" s="353"/>
      <c r="G52" s="353"/>
      <c r="H52" s="353"/>
      <c r="I52" s="353"/>
      <c r="J52" s="353"/>
      <c r="K52" s="353"/>
      <c r="L52" s="353"/>
      <c r="M52" s="353"/>
      <c r="N52" s="353"/>
      <c r="O52" s="353"/>
      <c r="P52" s="353"/>
      <c r="Q52" s="353"/>
      <c r="R52" s="353"/>
      <c r="S52" s="353"/>
    </row>
    <row r="53" spans="1:22">
      <c r="B53" s="353"/>
      <c r="C53" s="353"/>
      <c r="D53" s="353"/>
      <c r="E53" s="353"/>
      <c r="F53" s="353"/>
      <c r="G53" s="353"/>
      <c r="H53" s="353"/>
      <c r="I53" s="353"/>
      <c r="J53" s="353"/>
      <c r="K53" s="353"/>
      <c r="L53" s="353"/>
      <c r="M53" s="353"/>
      <c r="N53" s="353"/>
      <c r="O53" s="353"/>
      <c r="P53" s="353"/>
      <c r="Q53" s="353"/>
      <c r="R53" s="353"/>
      <c r="S53" s="353"/>
    </row>
    <row r="56" spans="1:22" ht="15" thickBot="1"/>
    <row r="57" spans="1:22" ht="15" customHeight="1">
      <c r="A57" s="229"/>
      <c r="B57" s="230"/>
      <c r="C57" s="230"/>
      <c r="D57" s="230"/>
      <c r="E57" s="231"/>
      <c r="F57" s="158" t="str">
        <f>F1</f>
        <v>نگهداشت و افزایش تولید میدان نفتی بینک
سطح الارض و ابنیه تحت الارض 
خرید مخازن ذخیره گاز ایستگاه تقویت فشار گاز بینک 
(قرارداد BK-HD-GCS-CO-0026_00 )</v>
      </c>
      <c r="G57" s="159"/>
      <c r="H57" s="159"/>
      <c r="I57" s="159"/>
      <c r="J57" s="159"/>
      <c r="K57" s="159"/>
      <c r="L57" s="159"/>
      <c r="M57" s="159"/>
      <c r="N57" s="159"/>
      <c r="O57" s="159"/>
      <c r="P57" s="159"/>
      <c r="Q57" s="160"/>
      <c r="R57" s="238"/>
      <c r="S57" s="238"/>
      <c r="T57" s="238"/>
      <c r="U57" s="238"/>
      <c r="V57" s="239"/>
    </row>
    <row r="58" spans="1:22" ht="15" customHeight="1">
      <c r="A58" s="232"/>
      <c r="B58" s="233"/>
      <c r="C58" s="233"/>
      <c r="D58" s="233"/>
      <c r="E58" s="234"/>
      <c r="F58" s="161"/>
      <c r="G58" s="162"/>
      <c r="H58" s="162"/>
      <c r="I58" s="162"/>
      <c r="J58" s="162"/>
      <c r="K58" s="162"/>
      <c r="L58" s="162"/>
      <c r="M58" s="162"/>
      <c r="N58" s="162"/>
      <c r="O58" s="162"/>
      <c r="P58" s="162"/>
      <c r="Q58" s="163"/>
      <c r="R58" s="177"/>
      <c r="S58" s="177"/>
      <c r="T58" s="177"/>
      <c r="U58" s="177"/>
      <c r="V58" s="240"/>
    </row>
    <row r="59" spans="1:22">
      <c r="A59" s="232"/>
      <c r="B59" s="233"/>
      <c r="C59" s="233"/>
      <c r="D59" s="233"/>
      <c r="E59" s="234"/>
      <c r="F59" s="161"/>
      <c r="G59" s="162"/>
      <c r="H59" s="162"/>
      <c r="I59" s="162"/>
      <c r="J59" s="162"/>
      <c r="K59" s="162"/>
      <c r="L59" s="162"/>
      <c r="M59" s="162"/>
      <c r="N59" s="162"/>
      <c r="O59" s="162"/>
      <c r="P59" s="162"/>
      <c r="Q59" s="163"/>
      <c r="R59" s="177"/>
      <c r="S59" s="177"/>
      <c r="T59" s="177"/>
      <c r="U59" s="177"/>
      <c r="V59" s="240"/>
    </row>
    <row r="60" spans="1:22">
      <c r="A60" s="232"/>
      <c r="B60" s="233"/>
      <c r="C60" s="233"/>
      <c r="D60" s="233"/>
      <c r="E60" s="234"/>
      <c r="F60" s="161"/>
      <c r="G60" s="162"/>
      <c r="H60" s="162"/>
      <c r="I60" s="162"/>
      <c r="J60" s="162"/>
      <c r="K60" s="162"/>
      <c r="L60" s="162"/>
      <c r="M60" s="162"/>
      <c r="N60" s="162"/>
      <c r="O60" s="162"/>
      <c r="P60" s="162"/>
      <c r="Q60" s="163"/>
      <c r="R60" s="177"/>
      <c r="S60" s="177"/>
      <c r="T60" s="177"/>
      <c r="U60" s="177"/>
      <c r="V60" s="240"/>
    </row>
    <row r="61" spans="1:22">
      <c r="A61" s="232"/>
      <c r="B61" s="233"/>
      <c r="C61" s="233"/>
      <c r="D61" s="233"/>
      <c r="E61" s="234"/>
      <c r="F61" s="164"/>
      <c r="G61" s="165"/>
      <c r="H61" s="165"/>
      <c r="I61" s="165"/>
      <c r="J61" s="165"/>
      <c r="K61" s="165"/>
      <c r="L61" s="165"/>
      <c r="M61" s="165"/>
      <c r="N61" s="165"/>
      <c r="O61" s="165"/>
      <c r="P61" s="165"/>
      <c r="Q61" s="166"/>
      <c r="R61" s="177"/>
      <c r="S61" s="177"/>
      <c r="T61" s="177"/>
      <c r="U61" s="177"/>
      <c r="V61" s="240"/>
    </row>
    <row r="62" spans="1:22" ht="21" customHeight="1">
      <c r="A62" s="235"/>
      <c r="B62" s="236"/>
      <c r="C62" s="236"/>
      <c r="D62" s="236"/>
      <c r="E62" s="237"/>
      <c r="F62" s="265" t="str">
        <f>F6</f>
        <v>Mechanical Calculation Book For Fire Water Tanks (TK-2301A/B)</v>
      </c>
      <c r="G62" s="266"/>
      <c r="H62" s="266"/>
      <c r="I62" s="266"/>
      <c r="J62" s="266"/>
      <c r="K62" s="266"/>
      <c r="L62" s="266"/>
      <c r="M62" s="266"/>
      <c r="N62" s="266"/>
      <c r="O62" s="266"/>
      <c r="P62" s="266"/>
      <c r="Q62" s="267"/>
      <c r="R62" s="177"/>
      <c r="S62" s="177"/>
      <c r="T62" s="177"/>
      <c r="U62" s="177"/>
      <c r="V62" s="240"/>
    </row>
    <row r="63" spans="1:22" ht="17.45" customHeight="1">
      <c r="A63" s="167" t="s">
        <v>743</v>
      </c>
      <c r="B63" s="168"/>
      <c r="C63" s="168"/>
      <c r="D63" s="168"/>
      <c r="E63" s="169"/>
      <c r="F63" s="125" t="s">
        <v>744</v>
      </c>
      <c r="G63" s="170" t="s">
        <v>745</v>
      </c>
      <c r="H63" s="171"/>
      <c r="I63" s="170" t="s">
        <v>746</v>
      </c>
      <c r="J63" s="171"/>
      <c r="K63" s="170" t="s">
        <v>747</v>
      </c>
      <c r="L63" s="171"/>
      <c r="M63" s="125" t="s">
        <v>748</v>
      </c>
      <c r="N63" s="170" t="s">
        <v>749</v>
      </c>
      <c r="O63" s="171"/>
      <c r="P63" s="125" t="s">
        <v>750</v>
      </c>
      <c r="Q63" s="126" t="s">
        <v>751</v>
      </c>
      <c r="R63" s="172">
        <f>R7</f>
        <v>29</v>
      </c>
      <c r="S63" s="174" t="s">
        <v>752</v>
      </c>
      <c r="T63" s="263">
        <f>T7+1</f>
        <v>17</v>
      </c>
      <c r="U63" s="168" t="s">
        <v>753</v>
      </c>
      <c r="V63" s="188"/>
    </row>
    <row r="64" spans="1:22" ht="24" customHeight="1" thickBot="1">
      <c r="A64" s="191" t="s">
        <v>754</v>
      </c>
      <c r="B64" s="175"/>
      <c r="C64" s="175"/>
      <c r="D64" s="175"/>
      <c r="E64" s="192"/>
      <c r="F64" s="132" t="s">
        <v>755</v>
      </c>
      <c r="G64" s="193" t="s">
        <v>756</v>
      </c>
      <c r="H64" s="193"/>
      <c r="I64" s="193" t="s">
        <v>878</v>
      </c>
      <c r="J64" s="193"/>
      <c r="K64" s="193">
        <v>120</v>
      </c>
      <c r="L64" s="193"/>
      <c r="M64" s="132" t="s">
        <v>757</v>
      </c>
      <c r="N64" s="193" t="s">
        <v>879</v>
      </c>
      <c r="O64" s="193"/>
      <c r="P64" s="142" t="s">
        <v>881</v>
      </c>
      <c r="Q64" s="133" t="str">
        <f>Q8</f>
        <v>V01</v>
      </c>
      <c r="R64" s="173"/>
      <c r="S64" s="175"/>
      <c r="T64" s="264"/>
      <c r="U64" s="189"/>
      <c r="V64" s="190"/>
    </row>
    <row r="75" spans="1:21" ht="15" customHeight="1"/>
    <row r="78" spans="1:21" ht="15">
      <c r="A78" s="30"/>
      <c r="B78" s="30"/>
      <c r="C78" s="30"/>
      <c r="D78" s="30"/>
      <c r="E78" s="30"/>
      <c r="F78" s="30"/>
      <c r="G78" s="30"/>
      <c r="H78" s="30"/>
      <c r="I78" s="30"/>
      <c r="J78" s="30"/>
      <c r="K78" s="30"/>
      <c r="L78" s="30"/>
      <c r="M78" s="30"/>
      <c r="N78" s="30"/>
      <c r="O78" s="30"/>
      <c r="P78" s="30"/>
      <c r="Q78" s="30"/>
      <c r="R78" s="30"/>
      <c r="S78" s="30"/>
      <c r="T78" s="30"/>
      <c r="U78" s="30"/>
    </row>
    <row r="79" spans="1:21" ht="15">
      <c r="A79" s="30"/>
      <c r="B79" s="391" t="s">
        <v>468</v>
      </c>
      <c r="C79" s="391"/>
      <c r="D79" s="391"/>
      <c r="E79" s="391"/>
      <c r="F79" s="391"/>
      <c r="G79" s="391"/>
      <c r="H79" s="391"/>
      <c r="I79" s="391"/>
      <c r="J79" s="391"/>
      <c r="K79" s="391"/>
      <c r="L79" s="391"/>
      <c r="M79" s="391"/>
      <c r="N79" s="391"/>
      <c r="O79" s="382"/>
      <c r="P79" s="382"/>
      <c r="Q79" s="382"/>
      <c r="R79" s="382"/>
      <c r="S79" s="382"/>
      <c r="T79" s="30"/>
      <c r="U79" s="30"/>
    </row>
    <row r="80" spans="1:21" ht="15">
      <c r="A80" s="30"/>
      <c r="B80" s="391" t="s">
        <v>336</v>
      </c>
      <c r="C80" s="391"/>
      <c r="D80" s="391"/>
      <c r="E80" s="391"/>
      <c r="F80" s="391"/>
      <c r="G80" s="391"/>
      <c r="H80" s="391"/>
      <c r="I80" s="391"/>
      <c r="J80" s="391"/>
      <c r="K80" s="391"/>
      <c r="L80" s="391"/>
      <c r="M80" s="391"/>
      <c r="N80" s="391"/>
      <c r="O80" s="391"/>
      <c r="P80" s="391"/>
      <c r="Q80" s="391"/>
      <c r="R80" s="391"/>
      <c r="S80" s="391"/>
      <c r="T80" s="30"/>
      <c r="U80" s="30"/>
    </row>
    <row r="81" spans="1:21" ht="15">
      <c r="A81" s="30"/>
      <c r="B81" s="570" t="s">
        <v>337</v>
      </c>
      <c r="C81" s="570"/>
      <c r="D81" s="570"/>
      <c r="E81" s="570"/>
      <c r="F81" s="570"/>
      <c r="G81" s="570"/>
      <c r="H81" s="570"/>
      <c r="I81" s="570"/>
      <c r="J81" s="570"/>
      <c r="K81" s="570"/>
      <c r="L81" s="570"/>
      <c r="M81" s="570"/>
      <c r="N81" s="570"/>
      <c r="O81" s="570"/>
      <c r="P81" s="570"/>
      <c r="Q81" s="570"/>
      <c r="R81" s="570"/>
      <c r="S81" s="30"/>
      <c r="T81" s="30"/>
      <c r="U81" s="30"/>
    </row>
    <row r="82" spans="1:21" ht="15">
      <c r="A82" s="30"/>
      <c r="B82" s="571" t="s">
        <v>347</v>
      </c>
      <c r="C82" s="571"/>
      <c r="D82" s="571"/>
      <c r="E82" s="571"/>
      <c r="F82" s="571"/>
      <c r="G82" s="571"/>
      <c r="H82" s="571"/>
      <c r="I82" s="571"/>
      <c r="J82" s="571"/>
      <c r="K82" s="571"/>
      <c r="L82" s="571"/>
      <c r="M82" s="571"/>
      <c r="N82" s="571"/>
      <c r="O82" s="571"/>
      <c r="P82" s="571"/>
      <c r="Q82" s="571"/>
      <c r="R82" s="571"/>
      <c r="S82" s="30"/>
      <c r="T82" s="30"/>
      <c r="U82" s="30"/>
    </row>
    <row r="83" spans="1:21" ht="15">
      <c r="A83" s="30"/>
      <c r="B83" s="562" t="s">
        <v>348</v>
      </c>
      <c r="C83" s="562"/>
      <c r="D83" s="562"/>
      <c r="E83" s="562"/>
      <c r="F83" s="562"/>
      <c r="G83" s="562"/>
      <c r="H83" s="562"/>
      <c r="I83" s="562"/>
      <c r="J83" s="562"/>
      <c r="K83" s="562"/>
      <c r="L83" s="562"/>
      <c r="M83" s="562"/>
      <c r="N83" s="562"/>
      <c r="O83" s="562"/>
      <c r="P83" s="562"/>
      <c r="Q83" s="562"/>
      <c r="R83" s="562"/>
      <c r="S83" s="30"/>
      <c r="T83" s="30"/>
      <c r="U83" s="30"/>
    </row>
    <row r="84" spans="1:21" ht="15">
      <c r="A84" s="30"/>
      <c r="B84" s="562"/>
      <c r="C84" s="562"/>
      <c r="D84" s="562"/>
      <c r="E84" s="562"/>
      <c r="F84" s="562"/>
      <c r="G84" s="562"/>
      <c r="H84" s="562"/>
      <c r="I84" s="562"/>
      <c r="J84" s="562"/>
      <c r="K84" s="562"/>
      <c r="L84" s="562"/>
      <c r="M84" s="562"/>
      <c r="N84" s="562"/>
      <c r="O84" s="562"/>
      <c r="P84" s="562"/>
      <c r="Q84" s="562"/>
      <c r="R84" s="562"/>
      <c r="S84" s="30"/>
      <c r="T84" s="30"/>
      <c r="U84" s="30"/>
    </row>
    <row r="85" spans="1:21" ht="15">
      <c r="A85" s="30"/>
      <c r="B85" s="520" t="str">
        <f>IF(Q25&gt;Q20,"Tc &gt; TL.","Tc ≤ TL.")</f>
        <v>Tc ≤ TL.</v>
      </c>
      <c r="C85" s="520"/>
      <c r="D85" s="520"/>
      <c r="E85" s="520"/>
      <c r="F85" s="520"/>
      <c r="G85" s="520"/>
      <c r="H85" s="520"/>
      <c r="I85" s="520"/>
      <c r="J85" s="520"/>
      <c r="K85" s="520"/>
      <c r="L85" s="520"/>
      <c r="M85" s="520"/>
      <c r="N85" s="520"/>
      <c r="O85" s="520"/>
      <c r="P85" s="520"/>
      <c r="Q85" s="520"/>
      <c r="R85" s="520"/>
      <c r="S85" s="30"/>
      <c r="T85" s="30"/>
      <c r="U85" s="30"/>
    </row>
    <row r="86" spans="1:21" ht="15" customHeight="1">
      <c r="A86" s="30"/>
      <c r="B86" s="391" t="s">
        <v>469</v>
      </c>
      <c r="C86" s="391"/>
      <c r="D86" s="391"/>
      <c r="E86" s="391"/>
      <c r="F86" s="391"/>
      <c r="G86" s="391"/>
      <c r="H86" s="391"/>
      <c r="I86" s="391"/>
      <c r="J86" s="391"/>
      <c r="K86" s="391"/>
      <c r="L86" s="391"/>
      <c r="M86" s="391"/>
      <c r="N86" s="391"/>
      <c r="O86" s="391"/>
      <c r="P86" s="391"/>
      <c r="Q86" s="391"/>
      <c r="R86" s="391"/>
      <c r="S86" s="30"/>
      <c r="T86" s="30"/>
      <c r="U86" s="30"/>
    </row>
    <row r="87" spans="1:21" ht="15">
      <c r="A87" s="30"/>
      <c r="B87" s="382" t="s">
        <v>338</v>
      </c>
      <c r="C87" s="382"/>
      <c r="D87" s="382"/>
      <c r="E87" s="382"/>
      <c r="F87" s="382"/>
      <c r="G87" s="382"/>
      <c r="H87" s="382"/>
      <c r="I87" s="382"/>
      <c r="J87" s="382"/>
      <c r="K87" s="382"/>
      <c r="L87" s="382"/>
      <c r="M87" s="382"/>
      <c r="N87" s="382"/>
      <c r="O87" s="382"/>
      <c r="P87" s="382"/>
      <c r="Q87" s="382"/>
      <c r="R87" s="382"/>
      <c r="S87" s="30"/>
      <c r="T87" s="30"/>
      <c r="U87" s="30"/>
    </row>
    <row r="88" spans="1:21" ht="15">
      <c r="A88" s="30"/>
      <c r="B88" s="30"/>
      <c r="C88" s="30"/>
      <c r="D88" s="382" t="s">
        <v>340</v>
      </c>
      <c r="E88" s="382"/>
      <c r="F88" s="383">
        <f>Q32*(Q16/Q17)</f>
        <v>0.23554687500000002</v>
      </c>
      <c r="G88" s="383"/>
      <c r="H88" s="383"/>
      <c r="I88" s="383"/>
      <c r="J88" s="383"/>
      <c r="K88" s="383"/>
      <c r="L88" s="383"/>
      <c r="M88" s="383"/>
      <c r="N88" s="383"/>
      <c r="O88" s="383"/>
      <c r="P88" s="30" t="s">
        <v>345</v>
      </c>
      <c r="Q88" s="382">
        <v>7.0000000000000001E-3</v>
      </c>
      <c r="R88" s="382"/>
      <c r="S88" s="30"/>
      <c r="T88" s="30"/>
      <c r="U88" s="30"/>
    </row>
    <row r="89" spans="1:21" ht="15">
      <c r="A89" s="382" t="s">
        <v>343</v>
      </c>
      <c r="B89" s="382"/>
      <c r="C89" s="382"/>
      <c r="D89" s="382" t="s">
        <v>341</v>
      </c>
      <c r="E89" s="382"/>
      <c r="F89" s="380">
        <f>Q26*Q33*(1/Q25)*(Q16/Q18)</f>
        <v>0.10176633223844836</v>
      </c>
      <c r="G89" s="380"/>
      <c r="H89" s="380"/>
      <c r="I89" s="380"/>
      <c r="J89" s="380"/>
      <c r="K89" s="380"/>
      <c r="L89" s="380"/>
      <c r="M89" s="380"/>
      <c r="N89" s="380"/>
      <c r="O89" s="380"/>
      <c r="P89" s="26" t="s">
        <v>346</v>
      </c>
      <c r="Q89" s="382" t="s">
        <v>339</v>
      </c>
      <c r="R89" s="382"/>
      <c r="S89" s="382" t="str">
        <f>IF(Q25&gt;Q20,"NO","YES")</f>
        <v>YES</v>
      </c>
      <c r="T89" s="382"/>
      <c r="U89" s="30"/>
    </row>
    <row r="90" spans="1:21" ht="15">
      <c r="A90" s="382" t="s">
        <v>344</v>
      </c>
      <c r="B90" s="382"/>
      <c r="C90" s="382"/>
      <c r="D90" s="382" t="s">
        <v>341</v>
      </c>
      <c r="E90" s="382"/>
      <c r="F90" s="383">
        <f>Q26*Q33*(Q20/Q25^2)*(Q16/Q18)</f>
        <v>0.1077737769341529</v>
      </c>
      <c r="G90" s="383"/>
      <c r="H90" s="383"/>
      <c r="I90" s="383"/>
      <c r="J90" s="383"/>
      <c r="K90" s="383"/>
      <c r="L90" s="383"/>
      <c r="M90" s="383"/>
      <c r="N90" s="383"/>
      <c r="O90" s="383"/>
      <c r="P90" s="26" t="s">
        <v>346</v>
      </c>
      <c r="Q90" s="382" t="s">
        <v>339</v>
      </c>
      <c r="R90" s="382"/>
      <c r="S90" s="382" t="str">
        <f>IF(Q25&gt;Q20,"YES","NO")</f>
        <v>NO</v>
      </c>
      <c r="T90" s="382"/>
      <c r="U90" s="30"/>
    </row>
    <row r="91" spans="1:21" ht="15">
      <c r="A91" s="30"/>
      <c r="B91" s="382"/>
      <c r="C91" s="382"/>
      <c r="D91" s="382" t="s">
        <v>342</v>
      </c>
      <c r="E91" s="382"/>
      <c r="F91" s="383">
        <f>(2/3)*(0.7)*Q32</f>
        <v>0.35174999999999995</v>
      </c>
      <c r="G91" s="383"/>
      <c r="H91" s="383"/>
      <c r="I91" s="383"/>
      <c r="J91" s="383"/>
      <c r="K91" s="383"/>
      <c r="L91" s="383"/>
      <c r="M91" s="383"/>
      <c r="N91" s="383"/>
      <c r="O91" s="383"/>
      <c r="P91" s="30"/>
      <c r="Q91" s="30"/>
      <c r="R91" s="30"/>
      <c r="S91" s="30"/>
      <c r="T91" s="30"/>
      <c r="U91" s="30"/>
    </row>
    <row r="92" spans="1:21" ht="15">
      <c r="A92" s="30"/>
      <c r="B92" s="312" t="s">
        <v>349</v>
      </c>
      <c r="C92" s="312"/>
      <c r="D92" s="312"/>
      <c r="E92" s="312"/>
      <c r="F92" s="312"/>
      <c r="G92" s="312"/>
      <c r="H92" s="312"/>
      <c r="I92" s="312"/>
      <c r="J92" s="312"/>
      <c r="K92" s="312"/>
      <c r="L92" s="312"/>
      <c r="M92" s="312"/>
      <c r="N92" s="312"/>
      <c r="O92" s="312"/>
      <c r="P92" s="30"/>
      <c r="Q92" s="30"/>
      <c r="R92" s="30"/>
      <c r="S92" s="30"/>
      <c r="T92" s="30"/>
      <c r="U92" s="30"/>
    </row>
    <row r="93" spans="1:21" ht="15">
      <c r="A93" s="30"/>
      <c r="B93" s="312"/>
      <c r="C93" s="312"/>
      <c r="D93" s="312"/>
      <c r="E93" s="312"/>
      <c r="F93" s="312"/>
      <c r="G93" s="312"/>
      <c r="H93" s="312"/>
      <c r="I93" s="312"/>
      <c r="J93" s="312"/>
      <c r="K93" s="312"/>
      <c r="L93" s="312"/>
      <c r="M93" s="312"/>
      <c r="N93" s="312"/>
      <c r="O93" s="312"/>
      <c r="P93" s="30"/>
      <c r="Q93" s="30"/>
      <c r="R93" s="30"/>
      <c r="S93" s="30"/>
      <c r="T93" s="30"/>
      <c r="U93" s="30"/>
    </row>
    <row r="94" spans="1:21" ht="15">
      <c r="A94" s="30"/>
      <c r="B94" s="348" t="s">
        <v>350</v>
      </c>
      <c r="C94" s="348"/>
      <c r="D94" s="348"/>
      <c r="E94" s="348"/>
      <c r="F94" s="348"/>
      <c r="G94" s="348"/>
      <c r="H94" s="348"/>
      <c r="I94" s="348"/>
      <c r="J94" s="348"/>
      <c r="K94" s="348"/>
      <c r="L94" s="348"/>
      <c r="M94" s="348"/>
      <c r="N94" s="348"/>
      <c r="O94" s="348"/>
      <c r="P94" s="30"/>
      <c r="Q94" s="30"/>
      <c r="R94" s="78"/>
      <c r="S94" s="78"/>
      <c r="T94" s="30"/>
      <c r="U94" s="30"/>
    </row>
    <row r="95" spans="1:21" ht="15" customHeight="1">
      <c r="A95" s="30"/>
      <c r="B95" s="348"/>
      <c r="C95" s="348"/>
      <c r="D95" s="348"/>
      <c r="E95" s="348"/>
      <c r="F95" s="348"/>
      <c r="G95" s="348"/>
      <c r="H95" s="348"/>
      <c r="I95" s="348"/>
      <c r="J95" s="348"/>
      <c r="K95" s="348"/>
      <c r="L95" s="348"/>
      <c r="M95" s="348"/>
      <c r="N95" s="348"/>
      <c r="O95" s="348"/>
      <c r="P95" s="79"/>
      <c r="Q95" s="79"/>
      <c r="R95" s="80"/>
      <c r="S95" s="80"/>
      <c r="T95" s="30"/>
      <c r="U95" s="30"/>
    </row>
    <row r="96" spans="1:21" ht="15" customHeight="1">
      <c r="A96" s="30"/>
      <c r="B96" s="348"/>
      <c r="C96" s="348"/>
      <c r="D96" s="348"/>
      <c r="E96" s="348"/>
      <c r="F96" s="348"/>
      <c r="G96" s="348"/>
      <c r="H96" s="348"/>
      <c r="I96" s="348"/>
      <c r="J96" s="348"/>
      <c r="K96" s="348"/>
      <c r="L96" s="348"/>
      <c r="M96" s="348"/>
      <c r="N96" s="348"/>
      <c r="O96" s="348"/>
      <c r="P96" s="79"/>
      <c r="Q96" s="79"/>
      <c r="R96" s="80"/>
      <c r="S96" s="80"/>
      <c r="T96" s="30"/>
      <c r="U96" s="30"/>
    </row>
    <row r="97" spans="1:22" ht="15">
      <c r="A97" s="30"/>
      <c r="B97" s="348"/>
      <c r="C97" s="348"/>
      <c r="D97" s="348"/>
      <c r="E97" s="348"/>
      <c r="F97" s="348"/>
      <c r="G97" s="348"/>
      <c r="H97" s="348"/>
      <c r="I97" s="348"/>
      <c r="J97" s="348"/>
      <c r="K97" s="348"/>
      <c r="L97" s="348"/>
      <c r="M97" s="348"/>
      <c r="N97" s="348"/>
      <c r="O97" s="348"/>
      <c r="P97" s="382"/>
      <c r="Q97" s="382"/>
      <c r="R97" s="528"/>
      <c r="S97" s="528"/>
      <c r="T97" s="30"/>
      <c r="U97" s="30"/>
    </row>
    <row r="98" spans="1:22" ht="15">
      <c r="A98" s="30"/>
      <c r="B98" s="32"/>
      <c r="C98" s="32"/>
      <c r="D98" s="32"/>
      <c r="E98" s="32"/>
      <c r="F98" s="32"/>
      <c r="G98" s="32"/>
      <c r="H98" s="32"/>
      <c r="I98" s="32"/>
      <c r="J98" s="32"/>
      <c r="K98" s="32"/>
      <c r="L98" s="32"/>
      <c r="M98" s="32"/>
      <c r="N98" s="32"/>
      <c r="O98" s="32"/>
      <c r="P98" s="30"/>
      <c r="Q98" s="30"/>
      <c r="R98" s="30"/>
      <c r="S98" s="30"/>
      <c r="T98" s="30"/>
      <c r="U98" s="30"/>
    </row>
    <row r="99" spans="1:22" ht="15">
      <c r="A99" s="30"/>
      <c r="B99" s="170" t="str">
        <f>'[2]Shell Plate Design '!B38</f>
        <v>Course</v>
      </c>
      <c r="C99" s="171"/>
      <c r="D99" s="542" t="s">
        <v>631</v>
      </c>
      <c r="E99" s="543"/>
      <c r="F99" s="543"/>
      <c r="G99" s="544"/>
      <c r="H99" s="542" t="s">
        <v>353</v>
      </c>
      <c r="I99" s="543"/>
      <c r="J99" s="543"/>
      <c r="K99" s="544"/>
      <c r="L99" s="549"/>
      <c r="M99" s="550"/>
      <c r="N99" s="550"/>
      <c r="O99" s="550"/>
      <c r="P99" s="550"/>
      <c r="Q99" s="550"/>
      <c r="R99" s="550"/>
      <c r="S99" s="550"/>
      <c r="T99" s="550"/>
      <c r="U99" s="550"/>
    </row>
    <row r="100" spans="1:22" ht="15">
      <c r="A100" s="30"/>
      <c r="B100" s="170" t="str">
        <f>'Shell Plate Design '!B39</f>
        <v>#1</v>
      </c>
      <c r="C100" s="171"/>
      <c r="D100" s="548">
        <f>$Q$34/H100</f>
        <v>1.4772727272727271</v>
      </c>
      <c r="E100" s="548"/>
      <c r="F100" s="548"/>
      <c r="G100" s="548"/>
      <c r="H100" s="548">
        <f>G130</f>
        <v>8.8000000000000007</v>
      </c>
      <c r="I100" s="548"/>
      <c r="J100" s="548"/>
      <c r="K100" s="548"/>
      <c r="L100" s="551"/>
      <c r="M100" s="552"/>
      <c r="N100" s="552"/>
      <c r="O100" s="552"/>
      <c r="P100" s="552"/>
      <c r="Q100" s="552"/>
      <c r="R100" s="552"/>
      <c r="S100" s="552"/>
      <c r="T100" s="552"/>
      <c r="U100" s="552"/>
    </row>
    <row r="101" spans="1:22" ht="15">
      <c r="A101" s="30"/>
      <c r="B101" s="170" t="str">
        <f>'Shell Plate Design '!B40</f>
        <v>#2</v>
      </c>
      <c r="C101" s="171"/>
      <c r="D101" s="548">
        <f>$Q$34/H101</f>
        <v>1.9117647058823528</v>
      </c>
      <c r="E101" s="548"/>
      <c r="F101" s="548"/>
      <c r="G101" s="548"/>
      <c r="H101" s="548">
        <f>G132</f>
        <v>6.8000000000000007</v>
      </c>
      <c r="I101" s="548"/>
      <c r="J101" s="548"/>
      <c r="K101" s="548"/>
      <c r="L101" s="551"/>
      <c r="M101" s="552"/>
      <c r="N101" s="552"/>
      <c r="O101" s="552"/>
      <c r="P101" s="552"/>
      <c r="Q101" s="552"/>
      <c r="R101" s="552"/>
      <c r="S101" s="552"/>
      <c r="T101" s="552"/>
      <c r="U101" s="552"/>
    </row>
    <row r="102" spans="1:22" ht="15">
      <c r="A102" s="30"/>
      <c r="B102" s="170" t="str">
        <f>'Shell Plate Design '!B41</f>
        <v>#3</v>
      </c>
      <c r="C102" s="171"/>
      <c r="D102" s="548">
        <f t="shared" ref="D102:D104" si="0">$Q$34/H102</f>
        <v>2.708333333333333</v>
      </c>
      <c r="E102" s="548"/>
      <c r="F102" s="548"/>
      <c r="G102" s="548"/>
      <c r="H102" s="548">
        <f>G134</f>
        <v>4.8000000000000007</v>
      </c>
      <c r="I102" s="548"/>
      <c r="J102" s="548"/>
      <c r="K102" s="548"/>
      <c r="L102" s="551"/>
      <c r="M102" s="552"/>
      <c r="N102" s="552"/>
      <c r="O102" s="552"/>
      <c r="P102" s="552"/>
      <c r="Q102" s="552"/>
      <c r="R102" s="552"/>
      <c r="S102" s="552"/>
      <c r="T102" s="552"/>
      <c r="U102" s="552"/>
    </row>
    <row r="103" spans="1:22" ht="15">
      <c r="A103" s="30"/>
      <c r="B103" s="170" t="str">
        <f>'Shell Plate Design '!B42</f>
        <v>#4</v>
      </c>
      <c r="C103" s="171"/>
      <c r="D103" s="548">
        <f t="shared" si="0"/>
        <v>3.9393939393939386</v>
      </c>
      <c r="E103" s="548"/>
      <c r="F103" s="548"/>
      <c r="G103" s="548"/>
      <c r="H103" s="548">
        <f>G136</f>
        <v>3.3000000000000007</v>
      </c>
      <c r="I103" s="548"/>
      <c r="J103" s="548"/>
      <c r="K103" s="548"/>
      <c r="L103" s="551"/>
      <c r="M103" s="552"/>
      <c r="N103" s="552"/>
      <c r="O103" s="552"/>
      <c r="P103" s="552"/>
      <c r="Q103" s="552"/>
      <c r="R103" s="552"/>
      <c r="S103" s="552"/>
      <c r="T103" s="552"/>
      <c r="U103" s="552"/>
    </row>
    <row r="104" spans="1:22" ht="15">
      <c r="A104" s="30"/>
      <c r="B104" s="170" t="str">
        <f>'Shell Plate Design '!B43</f>
        <v>#5</v>
      </c>
      <c r="C104" s="171"/>
      <c r="D104" s="548">
        <f t="shared" si="0"/>
        <v>7.2222222222222197</v>
      </c>
      <c r="E104" s="548"/>
      <c r="F104" s="548"/>
      <c r="G104" s="548"/>
      <c r="H104" s="548">
        <f>G138</f>
        <v>1.8000000000000007</v>
      </c>
      <c r="I104" s="548"/>
      <c r="J104" s="548"/>
      <c r="K104" s="548"/>
      <c r="L104" s="551"/>
      <c r="M104" s="552"/>
      <c r="N104" s="552"/>
      <c r="O104" s="552"/>
      <c r="P104" s="552"/>
      <c r="Q104" s="552"/>
      <c r="R104" s="552"/>
      <c r="S104" s="552"/>
      <c r="T104" s="552"/>
      <c r="U104" s="552"/>
    </row>
    <row r="105" spans="1:22" ht="15">
      <c r="A105" s="30"/>
      <c r="B105" s="170" t="str">
        <f>'Shell Plate Design '!B44</f>
        <v>#6</v>
      </c>
      <c r="C105" s="171"/>
      <c r="D105" s="548">
        <f t="shared" ref="D105" si="1">$Q$34/H105</f>
        <v>16.249999999999986</v>
      </c>
      <c r="E105" s="548"/>
      <c r="F105" s="548"/>
      <c r="G105" s="548"/>
      <c r="H105" s="548">
        <f>G140</f>
        <v>0.80000000000000071</v>
      </c>
      <c r="I105" s="548"/>
      <c r="J105" s="548"/>
      <c r="K105" s="548"/>
      <c r="L105" s="551"/>
      <c r="M105" s="552"/>
      <c r="N105" s="552"/>
      <c r="O105" s="552"/>
      <c r="P105" s="552"/>
      <c r="Q105" s="552"/>
      <c r="R105" s="552"/>
      <c r="S105" s="552"/>
      <c r="T105" s="552"/>
      <c r="U105" s="552"/>
    </row>
    <row r="106" spans="1:22" ht="15.75" thickBot="1">
      <c r="A106" s="30"/>
      <c r="B106" s="30"/>
      <c r="C106" s="30"/>
      <c r="D106" s="30"/>
      <c r="E106" s="30"/>
      <c r="F106" s="30"/>
      <c r="G106" s="30"/>
      <c r="H106" s="30"/>
      <c r="I106" s="30"/>
      <c r="J106" s="30"/>
      <c r="K106" s="30"/>
      <c r="L106" s="30"/>
      <c r="M106" s="30"/>
      <c r="N106" s="30"/>
      <c r="O106" s="30"/>
      <c r="P106" s="30"/>
      <c r="Q106" s="30"/>
      <c r="R106" s="30"/>
      <c r="S106" s="30"/>
      <c r="T106" s="30"/>
      <c r="U106" s="30"/>
    </row>
    <row r="107" spans="1:22" ht="15" customHeight="1">
      <c r="A107" s="229"/>
      <c r="B107" s="230"/>
      <c r="C107" s="230"/>
      <c r="D107" s="230"/>
      <c r="E107" s="231"/>
      <c r="F107" s="158" t="str">
        <f>F57</f>
        <v>نگهداشت و افزایش تولید میدان نفتی بینک
سطح الارض و ابنیه تحت الارض 
خرید مخازن ذخیره گاز ایستگاه تقویت فشار گاز بینک 
(قرارداد BK-HD-GCS-CO-0026_00 )</v>
      </c>
      <c r="G107" s="159"/>
      <c r="H107" s="159"/>
      <c r="I107" s="159"/>
      <c r="J107" s="159"/>
      <c r="K107" s="159"/>
      <c r="L107" s="159"/>
      <c r="M107" s="159"/>
      <c r="N107" s="159"/>
      <c r="O107" s="159"/>
      <c r="P107" s="159"/>
      <c r="Q107" s="160"/>
      <c r="R107" s="238"/>
      <c r="S107" s="238"/>
      <c r="T107" s="238"/>
      <c r="U107" s="238"/>
      <c r="V107" s="239"/>
    </row>
    <row r="108" spans="1:22">
      <c r="A108" s="232"/>
      <c r="B108" s="233"/>
      <c r="C108" s="233"/>
      <c r="D108" s="233"/>
      <c r="E108" s="234"/>
      <c r="F108" s="161"/>
      <c r="G108" s="162"/>
      <c r="H108" s="162"/>
      <c r="I108" s="162"/>
      <c r="J108" s="162"/>
      <c r="K108" s="162"/>
      <c r="L108" s="162"/>
      <c r="M108" s="162"/>
      <c r="N108" s="162"/>
      <c r="O108" s="162"/>
      <c r="P108" s="162"/>
      <c r="Q108" s="163"/>
      <c r="R108" s="177"/>
      <c r="S108" s="177"/>
      <c r="T108" s="177"/>
      <c r="U108" s="177"/>
      <c r="V108" s="240"/>
    </row>
    <row r="109" spans="1:22">
      <c r="A109" s="232"/>
      <c r="B109" s="233"/>
      <c r="C109" s="233"/>
      <c r="D109" s="233"/>
      <c r="E109" s="234"/>
      <c r="F109" s="161"/>
      <c r="G109" s="162"/>
      <c r="H109" s="162"/>
      <c r="I109" s="162"/>
      <c r="J109" s="162"/>
      <c r="K109" s="162"/>
      <c r="L109" s="162"/>
      <c r="M109" s="162"/>
      <c r="N109" s="162"/>
      <c r="O109" s="162"/>
      <c r="P109" s="162"/>
      <c r="Q109" s="163"/>
      <c r="R109" s="177"/>
      <c r="S109" s="177"/>
      <c r="T109" s="177"/>
      <c r="U109" s="177"/>
      <c r="V109" s="240"/>
    </row>
    <row r="110" spans="1:22">
      <c r="A110" s="232"/>
      <c r="B110" s="233"/>
      <c r="C110" s="233"/>
      <c r="D110" s="233"/>
      <c r="E110" s="234"/>
      <c r="F110" s="161"/>
      <c r="G110" s="162"/>
      <c r="H110" s="162"/>
      <c r="I110" s="162"/>
      <c r="J110" s="162"/>
      <c r="K110" s="162"/>
      <c r="L110" s="162"/>
      <c r="M110" s="162"/>
      <c r="N110" s="162"/>
      <c r="O110" s="162"/>
      <c r="P110" s="162"/>
      <c r="Q110" s="163"/>
      <c r="R110" s="177"/>
      <c r="S110" s="177"/>
      <c r="T110" s="177"/>
      <c r="U110" s="177"/>
      <c r="V110" s="240"/>
    </row>
    <row r="111" spans="1:22">
      <c r="A111" s="232"/>
      <c r="B111" s="233"/>
      <c r="C111" s="233"/>
      <c r="D111" s="233"/>
      <c r="E111" s="234"/>
      <c r="F111" s="164"/>
      <c r="G111" s="165"/>
      <c r="H111" s="165"/>
      <c r="I111" s="165"/>
      <c r="J111" s="165"/>
      <c r="K111" s="165"/>
      <c r="L111" s="165"/>
      <c r="M111" s="165"/>
      <c r="N111" s="165"/>
      <c r="O111" s="165"/>
      <c r="P111" s="165"/>
      <c r="Q111" s="166"/>
      <c r="R111" s="177"/>
      <c r="S111" s="177"/>
      <c r="T111" s="177"/>
      <c r="U111" s="177"/>
      <c r="V111" s="240"/>
    </row>
    <row r="112" spans="1:22" ht="21" customHeight="1">
      <c r="A112" s="235"/>
      <c r="B112" s="236"/>
      <c r="C112" s="236"/>
      <c r="D112" s="236"/>
      <c r="E112" s="237"/>
      <c r="F112" s="265" t="str">
        <f>F62</f>
        <v>Mechanical Calculation Book For Fire Water Tanks (TK-2301A/B)</v>
      </c>
      <c r="G112" s="266"/>
      <c r="H112" s="266"/>
      <c r="I112" s="266"/>
      <c r="J112" s="266"/>
      <c r="K112" s="266"/>
      <c r="L112" s="266"/>
      <c r="M112" s="266"/>
      <c r="N112" s="266"/>
      <c r="O112" s="266"/>
      <c r="P112" s="266"/>
      <c r="Q112" s="267"/>
      <c r="R112" s="177"/>
      <c r="S112" s="177"/>
      <c r="T112" s="177"/>
      <c r="U112" s="177"/>
      <c r="V112" s="240"/>
    </row>
    <row r="113" spans="1:22" ht="20.45" customHeight="1">
      <c r="A113" s="167" t="s">
        <v>743</v>
      </c>
      <c r="B113" s="168"/>
      <c r="C113" s="168"/>
      <c r="D113" s="168"/>
      <c r="E113" s="169"/>
      <c r="F113" s="125" t="s">
        <v>744</v>
      </c>
      <c r="G113" s="170" t="s">
        <v>745</v>
      </c>
      <c r="H113" s="171"/>
      <c r="I113" s="170" t="s">
        <v>746</v>
      </c>
      <c r="J113" s="171"/>
      <c r="K113" s="170" t="s">
        <v>747</v>
      </c>
      <c r="L113" s="171"/>
      <c r="M113" s="125" t="s">
        <v>748</v>
      </c>
      <c r="N113" s="170" t="s">
        <v>749</v>
      </c>
      <c r="O113" s="171"/>
      <c r="P113" s="125" t="s">
        <v>750</v>
      </c>
      <c r="Q113" s="126" t="s">
        <v>751</v>
      </c>
      <c r="R113" s="172">
        <f>R63</f>
        <v>29</v>
      </c>
      <c r="S113" s="174" t="s">
        <v>752</v>
      </c>
      <c r="T113" s="263">
        <f>T63+1</f>
        <v>18</v>
      </c>
      <c r="U113" s="168" t="s">
        <v>753</v>
      </c>
      <c r="V113" s="188"/>
    </row>
    <row r="114" spans="1:22" ht="20.45" customHeight="1" thickBot="1">
      <c r="A114" s="191" t="s">
        <v>754</v>
      </c>
      <c r="B114" s="175"/>
      <c r="C114" s="175"/>
      <c r="D114" s="175"/>
      <c r="E114" s="192"/>
      <c r="F114" s="132" t="s">
        <v>755</v>
      </c>
      <c r="G114" s="193" t="s">
        <v>756</v>
      </c>
      <c r="H114" s="193"/>
      <c r="I114" s="193" t="s">
        <v>878</v>
      </c>
      <c r="J114" s="193"/>
      <c r="K114" s="193">
        <v>120</v>
      </c>
      <c r="L114" s="193"/>
      <c r="M114" s="132" t="s">
        <v>757</v>
      </c>
      <c r="N114" s="193" t="s">
        <v>879</v>
      </c>
      <c r="O114" s="193"/>
      <c r="P114" s="142" t="s">
        <v>881</v>
      </c>
      <c r="Q114" s="133" t="str">
        <f>Q64</f>
        <v>V01</v>
      </c>
      <c r="R114" s="173"/>
      <c r="S114" s="175"/>
      <c r="T114" s="264"/>
      <c r="U114" s="189"/>
      <c r="V114" s="190"/>
    </row>
    <row r="115" spans="1:22" ht="15">
      <c r="A115" s="30"/>
      <c r="B115" s="30"/>
      <c r="C115" s="30"/>
      <c r="D115" s="30"/>
      <c r="E115" s="30"/>
      <c r="F115" s="30"/>
      <c r="G115" s="30"/>
      <c r="H115" s="30"/>
      <c r="I115" s="30"/>
      <c r="J115" s="30"/>
      <c r="K115" s="30"/>
      <c r="L115" s="30"/>
      <c r="M115" s="30"/>
      <c r="N115" s="30"/>
      <c r="O115" s="30"/>
      <c r="P115" s="30"/>
      <c r="Q115" s="30"/>
      <c r="R115" s="30"/>
      <c r="S115" s="30"/>
      <c r="T115" s="30"/>
      <c r="U115" s="30"/>
    </row>
    <row r="116" spans="1:22" ht="15">
      <c r="A116" s="30"/>
      <c r="B116" s="30"/>
      <c r="C116" s="30"/>
      <c r="D116" s="30"/>
      <c r="E116" s="30"/>
      <c r="F116" s="30"/>
      <c r="G116" s="30"/>
      <c r="H116" s="30"/>
      <c r="I116" s="30"/>
      <c r="J116" s="30"/>
      <c r="K116" s="30"/>
      <c r="L116" s="30"/>
      <c r="M116" s="30"/>
      <c r="N116" s="30"/>
      <c r="O116" s="30"/>
      <c r="P116" s="30"/>
      <c r="Q116" s="30"/>
      <c r="R116" s="30"/>
      <c r="S116" s="30"/>
      <c r="T116" s="30"/>
      <c r="U116" s="30"/>
    </row>
    <row r="117" spans="1:22" ht="15">
      <c r="A117" s="30"/>
      <c r="B117" s="30"/>
      <c r="C117" s="30"/>
      <c r="D117" s="30"/>
      <c r="E117" s="30"/>
      <c r="F117" s="30"/>
      <c r="G117" s="30"/>
      <c r="H117" s="30"/>
      <c r="I117" s="30"/>
      <c r="J117" s="30"/>
      <c r="K117" s="30"/>
      <c r="L117" s="30"/>
      <c r="M117" s="30"/>
      <c r="N117" s="30"/>
      <c r="O117" s="30"/>
      <c r="P117" s="30"/>
      <c r="Q117" s="30"/>
      <c r="R117" s="30"/>
      <c r="S117" s="30"/>
      <c r="T117" s="30"/>
      <c r="U117" s="30"/>
    </row>
    <row r="118" spans="1:22" ht="15">
      <c r="A118" s="30"/>
      <c r="B118" s="30"/>
      <c r="C118" s="30"/>
      <c r="D118" s="30"/>
      <c r="E118" s="30"/>
      <c r="F118" s="30"/>
      <c r="G118" s="30"/>
      <c r="H118" s="30"/>
      <c r="I118" s="30"/>
      <c r="J118" s="30"/>
      <c r="K118" s="30"/>
      <c r="L118" s="30"/>
      <c r="M118" s="30"/>
      <c r="N118" s="30"/>
      <c r="O118" s="30"/>
      <c r="P118" s="30"/>
      <c r="Q118" s="30"/>
      <c r="R118" s="30"/>
      <c r="S118" s="30"/>
      <c r="T118" s="30"/>
      <c r="U118" s="30"/>
    </row>
    <row r="119" spans="1:22" ht="15">
      <c r="A119" s="30"/>
      <c r="B119" s="30"/>
      <c r="C119" s="30"/>
      <c r="D119" s="30"/>
      <c r="E119" s="30"/>
      <c r="F119" s="30"/>
      <c r="G119" s="30"/>
      <c r="H119" s="30"/>
      <c r="I119" s="30"/>
      <c r="J119" s="30"/>
      <c r="K119" s="30"/>
      <c r="L119" s="30"/>
      <c r="M119" s="30"/>
      <c r="N119" s="30"/>
      <c r="O119" s="30"/>
      <c r="P119" s="30"/>
      <c r="Q119" s="30"/>
      <c r="R119" s="30"/>
      <c r="S119" s="30"/>
      <c r="T119" s="30"/>
      <c r="U119" s="30"/>
    </row>
    <row r="120" spans="1:22" ht="15">
      <c r="A120" s="30"/>
      <c r="B120" s="30"/>
      <c r="C120" s="30"/>
      <c r="D120" s="30"/>
      <c r="E120" s="30"/>
      <c r="F120" s="30"/>
      <c r="G120" s="30"/>
      <c r="H120" s="30"/>
      <c r="I120" s="30"/>
      <c r="J120" s="30"/>
      <c r="K120" s="30"/>
      <c r="L120" s="30"/>
      <c r="M120" s="30"/>
      <c r="N120" s="30"/>
      <c r="O120" s="30"/>
      <c r="P120" s="30"/>
      <c r="Q120" s="30"/>
      <c r="R120" s="30"/>
      <c r="S120" s="30"/>
      <c r="T120" s="30"/>
      <c r="U120" s="30"/>
    </row>
    <row r="121" spans="1:22" ht="15">
      <c r="A121" s="30"/>
      <c r="B121" s="30"/>
      <c r="C121" s="30"/>
      <c r="D121" s="30"/>
      <c r="E121" s="30"/>
      <c r="F121" s="30"/>
      <c r="G121" s="30"/>
      <c r="H121" s="30"/>
      <c r="I121" s="30"/>
      <c r="J121" s="30"/>
      <c r="K121" s="30"/>
      <c r="L121" s="30"/>
      <c r="M121" s="30"/>
      <c r="N121" s="30"/>
      <c r="O121" s="30"/>
      <c r="P121" s="30"/>
      <c r="Q121" s="30"/>
      <c r="R121" s="30"/>
      <c r="S121" s="30"/>
      <c r="T121" s="30"/>
      <c r="U121" s="30"/>
    </row>
    <row r="122" spans="1:22" ht="15">
      <c r="A122" s="30"/>
      <c r="B122" s="382"/>
      <c r="C122" s="382"/>
      <c r="D122" s="382"/>
      <c r="E122" s="382"/>
      <c r="F122" s="382"/>
      <c r="G122" s="382"/>
      <c r="H122" s="382"/>
      <c r="I122" s="382"/>
      <c r="J122" s="382"/>
      <c r="K122" s="382"/>
      <c r="L122" s="382"/>
      <c r="M122" s="382"/>
      <c r="N122" s="382"/>
      <c r="O122" s="382"/>
      <c r="P122" s="382"/>
      <c r="Q122" s="382"/>
      <c r="R122" s="382"/>
      <c r="S122" s="382"/>
      <c r="T122" s="30"/>
      <c r="U122" s="30"/>
    </row>
    <row r="123" spans="1:22" ht="15">
      <c r="A123" s="30"/>
      <c r="B123" s="33"/>
      <c r="C123" s="33"/>
      <c r="D123" s="33"/>
      <c r="E123" s="33"/>
      <c r="F123" s="33"/>
      <c r="G123" s="33"/>
      <c r="H123" s="33"/>
      <c r="I123" s="33"/>
      <c r="J123" s="33"/>
      <c r="K123" s="33"/>
      <c r="L123" s="33"/>
      <c r="M123" s="33"/>
      <c r="N123" s="33"/>
      <c r="O123" s="33"/>
      <c r="P123" s="33"/>
      <c r="Q123" s="33"/>
      <c r="R123" s="33"/>
      <c r="S123" s="33"/>
      <c r="T123" s="30"/>
      <c r="U123" s="30"/>
    </row>
    <row r="124" spans="1:22" ht="15">
      <c r="A124" s="30"/>
      <c r="B124" s="33"/>
      <c r="C124" s="33"/>
      <c r="D124" s="33"/>
      <c r="E124" s="33"/>
      <c r="F124" s="33"/>
      <c r="G124" s="33"/>
      <c r="H124" s="33"/>
      <c r="I124" s="33"/>
      <c r="J124" s="33"/>
      <c r="K124" s="33"/>
      <c r="L124" s="33"/>
      <c r="M124" s="33"/>
      <c r="N124" s="33"/>
      <c r="O124" s="33"/>
      <c r="P124" s="33"/>
      <c r="Q124" s="33"/>
      <c r="R124" s="33"/>
      <c r="S124" s="33"/>
      <c r="T124" s="30"/>
      <c r="U124" s="30"/>
    </row>
    <row r="125" spans="1:22" ht="15">
      <c r="A125" s="30"/>
      <c r="B125" s="33"/>
      <c r="C125" s="33"/>
      <c r="D125" s="33"/>
      <c r="E125" s="33"/>
      <c r="F125" s="33"/>
      <c r="G125" s="33"/>
      <c r="H125" s="33"/>
      <c r="I125" s="33"/>
      <c r="J125" s="33"/>
      <c r="K125" s="33"/>
      <c r="L125" s="33"/>
      <c r="M125" s="33"/>
      <c r="N125" s="33"/>
      <c r="O125" s="33"/>
      <c r="P125" s="33"/>
      <c r="Q125" s="33"/>
      <c r="R125" s="33"/>
      <c r="S125" s="33"/>
      <c r="T125" s="30"/>
      <c r="U125" s="30"/>
    </row>
    <row r="126" spans="1:22" ht="15">
      <c r="A126" s="30"/>
      <c r="B126" s="33"/>
      <c r="C126" s="33"/>
      <c r="D126" s="33"/>
      <c r="E126" s="33"/>
      <c r="F126" s="33"/>
      <c r="G126" s="33"/>
      <c r="H126" s="33"/>
      <c r="I126" s="33"/>
      <c r="J126" s="33"/>
      <c r="K126" s="33"/>
      <c r="L126" s="33"/>
      <c r="M126" s="33"/>
      <c r="N126" s="33"/>
      <c r="O126" s="33"/>
      <c r="P126" s="33"/>
      <c r="Q126" s="33"/>
      <c r="R126" s="33"/>
      <c r="S126" s="33"/>
      <c r="T126" s="30"/>
      <c r="U126" s="30"/>
    </row>
    <row r="127" spans="1:22" ht="15">
      <c r="A127" s="30"/>
      <c r="B127" s="378"/>
      <c r="C127" s="378"/>
      <c r="D127" s="521"/>
      <c r="E127" s="521"/>
      <c r="F127" s="521"/>
      <c r="G127" s="521"/>
      <c r="H127" s="521"/>
      <c r="I127" s="521"/>
      <c r="J127" s="521"/>
      <c r="K127" s="521"/>
      <c r="L127" s="521"/>
      <c r="M127" s="521"/>
      <c r="N127" s="521"/>
      <c r="O127" s="521"/>
      <c r="P127" s="521"/>
      <c r="Q127" s="521"/>
      <c r="R127" s="521"/>
      <c r="S127" s="521"/>
      <c r="T127" s="30"/>
      <c r="U127" s="30"/>
    </row>
    <row r="128" spans="1:22" ht="15">
      <c r="A128" s="30"/>
      <c r="B128" s="541" t="s">
        <v>351</v>
      </c>
      <c r="C128" s="541"/>
      <c r="D128" s="541" t="s">
        <v>352</v>
      </c>
      <c r="E128" s="541"/>
      <c r="F128" s="541" t="s">
        <v>111</v>
      </c>
      <c r="G128" s="541" t="s">
        <v>353</v>
      </c>
      <c r="H128" s="541" t="s">
        <v>113</v>
      </c>
      <c r="I128" s="541"/>
      <c r="J128" s="541" t="s">
        <v>114</v>
      </c>
      <c r="K128" s="541"/>
      <c r="L128" s="541" t="s">
        <v>115</v>
      </c>
      <c r="M128" s="541"/>
      <c r="N128" s="541" t="s">
        <v>116</v>
      </c>
      <c r="O128" s="541"/>
      <c r="P128" s="541"/>
      <c r="Q128" s="541" t="s">
        <v>354</v>
      </c>
      <c r="R128" s="541"/>
      <c r="S128" s="541"/>
      <c r="T128" s="541" t="s">
        <v>506</v>
      </c>
      <c r="U128" s="541"/>
      <c r="V128" s="541"/>
    </row>
    <row r="129" spans="1:26" ht="15">
      <c r="A129" s="30"/>
      <c r="B129" s="541"/>
      <c r="C129" s="541"/>
      <c r="D129" s="541"/>
      <c r="E129" s="541"/>
      <c r="F129" s="541"/>
      <c r="G129" s="541"/>
      <c r="H129" s="541"/>
      <c r="I129" s="541"/>
      <c r="J129" s="541"/>
      <c r="K129" s="541"/>
      <c r="L129" s="541"/>
      <c r="M129" s="541"/>
      <c r="N129" s="541"/>
      <c r="O129" s="541"/>
      <c r="P129" s="541"/>
      <c r="Q129" s="541"/>
      <c r="R129" s="541"/>
      <c r="S129" s="541"/>
      <c r="T129" s="541"/>
      <c r="U129" s="541"/>
      <c r="V129" s="541"/>
    </row>
    <row r="130" spans="1:26" ht="15">
      <c r="A130" s="30"/>
      <c r="B130" s="186" t="s">
        <v>448</v>
      </c>
      <c r="C130" s="186"/>
      <c r="D130" s="186">
        <f>'Shell Plate Design '!D39/1000</f>
        <v>2</v>
      </c>
      <c r="E130" s="186"/>
      <c r="F130" s="186">
        <f>'Top Angle &amp; Intermediate wind g'!$J$80</f>
        <v>6.4</v>
      </c>
      <c r="G130" s="186">
        <f>Q35</f>
        <v>8.8000000000000007</v>
      </c>
      <c r="H130" s="517">
        <f>8.48*F88*Q36*Q34*Q35*((G130/Q35)-(0.5)*(G130/Q35)^2)*TANH(0.866*(Q34/Q35))</f>
        <v>97.835567736079099</v>
      </c>
      <c r="I130" s="517"/>
      <c r="J130" s="517">
        <f>(1.85*$F$90*$Q$36*($Q$34^2))*COSH((3.68*($Q$35-G130))/($Q$34))/(COSH((3.68*($Q$35))/($Q$34)))</f>
        <v>5.5433435618433267</v>
      </c>
      <c r="K130" s="517"/>
      <c r="L130" s="517">
        <f>4.9*$Q$34*(G130-0.3)*$Q$36</f>
        <v>541.45000000000005</v>
      </c>
      <c r="M130" s="517"/>
      <c r="N130" s="517">
        <f>(L130+((H130^2)+(J130^2)+(((L130*$F$91)/2.5)^2))^0.5)/(F130)</f>
        <v>103.99559698919816</v>
      </c>
      <c r="O130" s="517"/>
      <c r="P130" s="517"/>
      <c r="Q130" s="517">
        <f>(L130-((H130^2)+(J130^2)+(((L130*$F$91)/2.5)^2))^0.5)/(F130)</f>
        <v>65.207528010801852</v>
      </c>
      <c r="R130" s="517"/>
      <c r="S130" s="517"/>
      <c r="T130" s="517">
        <f>1/($R$144/(MAX(N130:S131)))</f>
        <v>0.70457721537397111</v>
      </c>
      <c r="U130" s="517"/>
      <c r="V130" s="209" t="str">
        <f>IF(1&gt;T130,"OK","NOT OK")</f>
        <v>OK</v>
      </c>
    </row>
    <row r="131" spans="1:26" ht="15">
      <c r="A131" s="30"/>
      <c r="B131" s="186"/>
      <c r="C131" s="186"/>
      <c r="D131" s="186"/>
      <c r="E131" s="186"/>
      <c r="F131" s="186"/>
      <c r="G131" s="186"/>
      <c r="H131" s="517"/>
      <c r="I131" s="517"/>
      <c r="J131" s="517"/>
      <c r="K131" s="517"/>
      <c r="L131" s="517"/>
      <c r="M131" s="517"/>
      <c r="N131" s="517"/>
      <c r="O131" s="517"/>
      <c r="P131" s="517"/>
      <c r="Q131" s="517"/>
      <c r="R131" s="517"/>
      <c r="S131" s="517"/>
      <c r="T131" s="517"/>
      <c r="U131" s="517"/>
      <c r="V131" s="209"/>
      <c r="Z131" s="99"/>
    </row>
    <row r="132" spans="1:26" ht="15">
      <c r="A132" s="30"/>
      <c r="B132" s="186" t="s">
        <v>449</v>
      </c>
      <c r="C132" s="186"/>
      <c r="D132" s="186">
        <f>'Shell Plate Design '!D40/1000</f>
        <v>2</v>
      </c>
      <c r="E132" s="186"/>
      <c r="F132" s="186">
        <f>'Top Angle &amp; Intermediate wind g'!$J$82</f>
        <v>6.4</v>
      </c>
      <c r="G132" s="186">
        <f>G130-D130</f>
        <v>6.8000000000000007</v>
      </c>
      <c r="H132" s="517">
        <f t="shared" ref="H132" si="2">8.48*$F$88*$Q$36*$Q$34*$Q$35*((G132/$Q$35)-(0.5*((G132/$Q$35)^2)))*TANH(0.866*($Q$34/$Q$35))</f>
        <v>92.782077667066758</v>
      </c>
      <c r="I132" s="517"/>
      <c r="J132" s="517">
        <f t="shared" ref="J132" si="3">(1.85*$F$90*$Q$36*($Q$34^2))*COSH((3.68*($Q$35-G132))/($Q$34))/(COSH((3.68*($Q$35))/($Q$34)))</f>
        <v>6.4557330422168109</v>
      </c>
      <c r="K132" s="517"/>
      <c r="L132" s="517">
        <f t="shared" ref="L132" si="4">4.9*$Q$34*(G132-0.3)*$Q$36</f>
        <v>414.05000000000007</v>
      </c>
      <c r="M132" s="517"/>
      <c r="N132" s="517">
        <f t="shared" ref="N132" si="5">(L132+((H132^2)+(J132^2)+(((L132*$F$91)/2.5)^2))^0.5)/(F132)</f>
        <v>81.843028707458174</v>
      </c>
      <c r="O132" s="517"/>
      <c r="P132" s="517"/>
      <c r="Q132" s="517">
        <f t="shared" ref="Q132" si="6">(L132-((H132^2)+(J132^2)+(((L132*$F$91)/2.5)^2))^0.5)/(F132)</f>
        <v>47.547596292541847</v>
      </c>
      <c r="R132" s="517"/>
      <c r="S132" s="517"/>
      <c r="T132" s="517">
        <f>1/($R$144/(MAX(N132:S133)))</f>
        <v>0.55449206441367316</v>
      </c>
      <c r="U132" s="517"/>
      <c r="V132" s="209" t="str">
        <f t="shared" ref="V132" si="7">IF(1&gt;T132,"OK","NOT OK")</f>
        <v>OK</v>
      </c>
    </row>
    <row r="133" spans="1:26" ht="15">
      <c r="A133" s="30"/>
      <c r="B133" s="186"/>
      <c r="C133" s="186"/>
      <c r="D133" s="186"/>
      <c r="E133" s="186"/>
      <c r="F133" s="186"/>
      <c r="G133" s="186"/>
      <c r="H133" s="517"/>
      <c r="I133" s="517"/>
      <c r="J133" s="517"/>
      <c r="K133" s="517"/>
      <c r="L133" s="517"/>
      <c r="M133" s="517"/>
      <c r="N133" s="517"/>
      <c r="O133" s="517"/>
      <c r="P133" s="517"/>
      <c r="Q133" s="517"/>
      <c r="R133" s="517"/>
      <c r="S133" s="517"/>
      <c r="T133" s="517"/>
      <c r="U133" s="517"/>
      <c r="V133" s="209"/>
    </row>
    <row r="134" spans="1:26" ht="15">
      <c r="A134" s="30"/>
      <c r="B134" s="186" t="s">
        <v>450</v>
      </c>
      <c r="C134" s="186"/>
      <c r="D134" s="186">
        <f>'Shell Plate Design '!D41/1000</f>
        <v>1.5</v>
      </c>
      <c r="E134" s="186"/>
      <c r="F134" s="186">
        <f>'Top Angle &amp; Intermediate wind g'!$J$84</f>
        <v>4.4000000000000004</v>
      </c>
      <c r="G134" s="186">
        <f t="shared" ref="G134" si="8">G132-D132</f>
        <v>4.8000000000000007</v>
      </c>
      <c r="H134" s="517">
        <f t="shared" ref="H134" si="9">8.48*$F$88*$Q$36*$Q$34*$Q$35*((G134/$Q$35)-(0.5*((G134/$Q$35)^2)))*TANH(0.866*($Q$34/$Q$35))</f>
        <v>77.621607460029708</v>
      </c>
      <c r="I134" s="517"/>
      <c r="J134" s="517">
        <f t="shared" ref="J134" si="10">(1.85*$F$90*$Q$36*($Q$34^2))*COSH((3.68*($Q$35-G134))/($Q$34))/(COSH((3.68*($Q$35))/($Q$34)))</f>
        <v>9.4932453298295716</v>
      </c>
      <c r="K134" s="517"/>
      <c r="L134" s="517">
        <f t="shared" ref="L134" si="11">4.9*$Q$34*(G134-0.3)*$Q$36</f>
        <v>286.65000000000009</v>
      </c>
      <c r="M134" s="517"/>
      <c r="N134" s="517">
        <f t="shared" ref="N134" si="12">(L134+((H134^2)+(J134^2)+(((L134*$F$91)/2.5)^2))^0.5)/(F134)</f>
        <v>85.144986959232838</v>
      </c>
      <c r="O134" s="517"/>
      <c r="P134" s="517"/>
      <c r="Q134" s="517">
        <f t="shared" ref="Q134" si="13">(L134-((H134^2)+(J134^2)+(((L134*$F$91)/2.5)^2))^0.5)/(F134)</f>
        <v>45.150467586221737</v>
      </c>
      <c r="R134" s="517"/>
      <c r="S134" s="517"/>
      <c r="T134" s="517">
        <f>1/($R$144/(MAX(N134:S135)))</f>
        <v>0.57686305527935522</v>
      </c>
      <c r="U134" s="517"/>
      <c r="V134" s="209" t="str">
        <f t="shared" ref="V134" si="14">IF(1&gt;T134,"OK","NOT OK")</f>
        <v>OK</v>
      </c>
    </row>
    <row r="135" spans="1:26" ht="15">
      <c r="A135" s="30"/>
      <c r="B135" s="186"/>
      <c r="C135" s="186"/>
      <c r="D135" s="186"/>
      <c r="E135" s="186"/>
      <c r="F135" s="186"/>
      <c r="G135" s="186"/>
      <c r="H135" s="517"/>
      <c r="I135" s="517"/>
      <c r="J135" s="517"/>
      <c r="K135" s="517"/>
      <c r="L135" s="517"/>
      <c r="M135" s="517"/>
      <c r="N135" s="517"/>
      <c r="O135" s="517"/>
      <c r="P135" s="517"/>
      <c r="Q135" s="517"/>
      <c r="R135" s="517"/>
      <c r="S135" s="517"/>
      <c r="T135" s="517"/>
      <c r="U135" s="517"/>
      <c r="V135" s="209"/>
    </row>
    <row r="136" spans="1:26" ht="15">
      <c r="A136" s="30"/>
      <c r="B136" s="186" t="s">
        <v>451</v>
      </c>
      <c r="C136" s="186"/>
      <c r="D136" s="186">
        <f>'Shell Plate Design '!D42/1000</f>
        <v>1.5</v>
      </c>
      <c r="E136" s="186"/>
      <c r="F136" s="186">
        <f>'Top Angle &amp; Intermediate wind g'!$J$86</f>
        <v>4.4000000000000004</v>
      </c>
      <c r="G136" s="186">
        <f t="shared" ref="G136" si="15">G134-D134</f>
        <v>3.3000000000000007</v>
      </c>
      <c r="H136" s="517">
        <f t="shared" ref="H136" si="16">8.48*$F$88*$Q$36*$Q$34*$Q$35*((G136/$Q$35)-(0.5*((G136/$Q$35)^2)))*TANH(0.866*($Q$34/$Q$35))</f>
        <v>59.6185490891732</v>
      </c>
      <c r="I136" s="517"/>
      <c r="J136" s="517">
        <f t="shared" ref="J136" si="17">(1.85*$F$90*$Q$36*($Q$34^2))*COSH((3.68*($Q$35-G136))/($Q$34))/(COSH((3.68*($Q$35))/($Q$34)))</f>
        <v>13.733591715743398</v>
      </c>
      <c r="K136" s="517"/>
      <c r="L136" s="517">
        <f t="shared" ref="L136" si="18">4.9*$Q$34*(G136-0.3)*$Q$36</f>
        <v>191.10000000000005</v>
      </c>
      <c r="M136" s="517"/>
      <c r="N136" s="517">
        <f t="shared" ref="N136" si="19">(L136+((H136^2)+(J136^2)+(((L136*$F$91)/2.5)^2))^0.5)/(F136)</f>
        <v>58.619920978218332</v>
      </c>
      <c r="O136" s="517"/>
      <c r="P136" s="517"/>
      <c r="Q136" s="517">
        <f t="shared" ref="Q136" si="20">(L136-((H136^2)+(J136^2)+(((L136*$F$91)/2.5)^2))^0.5)/(F136)</f>
        <v>28.243715385418039</v>
      </c>
      <c r="R136" s="517"/>
      <c r="S136" s="517"/>
      <c r="T136" s="527">
        <f>1/($R$144/(MAX(N136:S137)))</f>
        <v>0.39715393616679079</v>
      </c>
      <c r="U136" s="527"/>
      <c r="V136" s="209" t="str">
        <f t="shared" ref="V136" si="21">IF(1&gt;T136,"OK","NOT OK")</f>
        <v>OK</v>
      </c>
    </row>
    <row r="137" spans="1:26" ht="15">
      <c r="A137" s="30"/>
      <c r="B137" s="186"/>
      <c r="C137" s="186"/>
      <c r="D137" s="186"/>
      <c r="E137" s="186"/>
      <c r="F137" s="186"/>
      <c r="G137" s="186"/>
      <c r="H137" s="517"/>
      <c r="I137" s="517"/>
      <c r="J137" s="517"/>
      <c r="K137" s="517"/>
      <c r="L137" s="517"/>
      <c r="M137" s="517"/>
      <c r="N137" s="517"/>
      <c r="O137" s="517"/>
      <c r="P137" s="517"/>
      <c r="Q137" s="517"/>
      <c r="R137" s="517"/>
      <c r="S137" s="517"/>
      <c r="T137" s="527"/>
      <c r="U137" s="527"/>
      <c r="V137" s="209"/>
    </row>
    <row r="138" spans="1:26" ht="15">
      <c r="A138" s="30"/>
      <c r="B138" s="186" t="s">
        <v>452</v>
      </c>
      <c r="C138" s="186"/>
      <c r="D138" s="186">
        <f>'Shell Plate Design '!D43/1000</f>
        <v>1.5</v>
      </c>
      <c r="E138" s="186"/>
      <c r="F138" s="186">
        <f>'Top Angle &amp; Intermediate wind g'!$J$88</f>
        <v>4.4000000000000004</v>
      </c>
      <c r="G138" s="186">
        <f t="shared" ref="G138" si="22">G136-D136</f>
        <v>1.8000000000000007</v>
      </c>
      <c r="H138" s="517">
        <f t="shared" ref="H138" si="23">8.48*$F$88*$Q$36*$Q$34*$Q$35*((G138/$Q$35)-(0.5*((G138/$Q$35)^2)))*TANH(0.866*($Q$34/$Q$35))</f>
        <v>35.930314390677822</v>
      </c>
      <c r="I138" s="517"/>
      <c r="J138" s="517">
        <f t="shared" ref="J138" si="24">(1.85*$F$90*$Q$36*($Q$34^2))*COSH((3.68*($Q$35-G138))/($Q$34))/(COSH((3.68*($Q$35))/($Q$34)))</f>
        <v>20.48750829239917</v>
      </c>
      <c r="K138" s="517"/>
      <c r="L138" s="517">
        <f t="shared" ref="L138" si="25">4.9*$Q$34*(G138-0.3)*$Q$36</f>
        <v>95.55000000000004</v>
      </c>
      <c r="M138" s="517"/>
      <c r="N138" s="517">
        <f t="shared" ref="N138" si="26">(L138+((H138^2)+(J138^2)+(((L138*$F$91)/2.5)^2))^0.5)/(F138)</f>
        <v>31.600218000003235</v>
      </c>
      <c r="O138" s="517"/>
      <c r="P138" s="517"/>
      <c r="Q138" s="517">
        <f t="shared" ref="Q138" si="27">(L138-((H138^2)+(J138^2)+(((L138*$F$91)/2.5)^2))^0.5)/(F138)</f>
        <v>11.831600181814963</v>
      </c>
      <c r="R138" s="517"/>
      <c r="S138" s="517"/>
      <c r="T138" s="517">
        <f>1/($R$144/(MAX(N138:S139)))</f>
        <v>0.21409361788620074</v>
      </c>
      <c r="U138" s="517"/>
      <c r="V138" s="209" t="str">
        <f t="shared" ref="V138:V140" si="28">IF(1&gt;T138,"OK","NOT OK")</f>
        <v>OK</v>
      </c>
    </row>
    <row r="139" spans="1:26" ht="15">
      <c r="A139" s="30"/>
      <c r="B139" s="186"/>
      <c r="C139" s="186"/>
      <c r="D139" s="186"/>
      <c r="E139" s="186"/>
      <c r="F139" s="186"/>
      <c r="G139" s="186"/>
      <c r="H139" s="517"/>
      <c r="I139" s="517"/>
      <c r="J139" s="517"/>
      <c r="K139" s="517"/>
      <c r="L139" s="517"/>
      <c r="M139" s="517"/>
      <c r="N139" s="517"/>
      <c r="O139" s="517"/>
      <c r="P139" s="517"/>
      <c r="Q139" s="517"/>
      <c r="R139" s="517"/>
      <c r="S139" s="517"/>
      <c r="T139" s="517"/>
      <c r="U139" s="517"/>
      <c r="V139" s="209"/>
    </row>
    <row r="140" spans="1:26" ht="15">
      <c r="A140" s="30"/>
      <c r="B140" s="186" t="s">
        <v>505</v>
      </c>
      <c r="C140" s="186"/>
      <c r="D140" s="186">
        <f>'Shell Plate Design '!D44/1000</f>
        <v>1</v>
      </c>
      <c r="E140" s="186"/>
      <c r="F140" s="186">
        <f>'Top Angle &amp; Intermediate wind g'!$J$88</f>
        <v>4.4000000000000004</v>
      </c>
      <c r="G140" s="186">
        <f>G138-D140</f>
        <v>0.80000000000000071</v>
      </c>
      <c r="H140" s="517">
        <f t="shared" ref="H140" si="29">8.48*$F$88*$Q$36*$Q$34*$Q$35*((G140/$Q$35)-(0.5*((G140/$Q$35)^2)))*TANH(0.866*($Q$34/$Q$35))</f>
        <v>16.979726631881512</v>
      </c>
      <c r="I140" s="517"/>
      <c r="J140" s="517">
        <f t="shared" ref="J140" si="30">(1.85*$F$90*$Q$36*($Q$34^2))*COSH((3.68*($Q$35-G140))/($Q$34))/(COSH((3.68*($Q$35))/($Q$34)))</f>
        <v>26.971944688615697</v>
      </c>
      <c r="K140" s="517"/>
      <c r="L140" s="517">
        <f t="shared" ref="L140" si="31">4.9*$Q$34*(G140-0.3)*$Q$36</f>
        <v>31.850000000000044</v>
      </c>
      <c r="M140" s="517"/>
      <c r="N140" s="517">
        <f t="shared" ref="N140" si="32">(L140+((H140^2)+(J140^2)+(((L140*$F$91)/2.5)^2))^0.5)/(F140)</f>
        <v>14.553425673488762</v>
      </c>
      <c r="O140" s="517"/>
      <c r="P140" s="517"/>
      <c r="Q140" s="517">
        <f t="shared" ref="Q140" si="33">(L140-((H140^2)+(J140^2)+(((L140*$F$91)/2.5)^2))^0.5)/(F140)</f>
        <v>-7.6152946216014261E-2</v>
      </c>
      <c r="R140" s="517"/>
      <c r="S140" s="517"/>
      <c r="T140" s="517">
        <f>1/($R$144/(MAX(N140:S141)))</f>
        <v>9.8600444942335774E-2</v>
      </c>
      <c r="U140" s="517"/>
      <c r="V140" s="209" t="str">
        <f t="shared" si="28"/>
        <v>OK</v>
      </c>
    </row>
    <row r="141" spans="1:26" ht="15">
      <c r="A141" s="30"/>
      <c r="B141" s="186"/>
      <c r="C141" s="186"/>
      <c r="D141" s="186"/>
      <c r="E141" s="186"/>
      <c r="F141" s="186"/>
      <c r="G141" s="186"/>
      <c r="H141" s="517"/>
      <c r="I141" s="517"/>
      <c r="J141" s="517"/>
      <c r="K141" s="517"/>
      <c r="L141" s="517"/>
      <c r="M141" s="517"/>
      <c r="N141" s="517"/>
      <c r="O141" s="517"/>
      <c r="P141" s="517"/>
      <c r="Q141" s="517"/>
      <c r="R141" s="517"/>
      <c r="S141" s="517"/>
      <c r="T141" s="517"/>
      <c r="U141" s="517"/>
      <c r="V141" s="209"/>
    </row>
    <row r="142" spans="1:26" ht="15">
      <c r="A142" s="30"/>
      <c r="B142" s="186" t="s">
        <v>160</v>
      </c>
      <c r="C142" s="186"/>
      <c r="D142" s="186"/>
      <c r="E142" s="186"/>
      <c r="F142" s="186"/>
      <c r="G142" s="186"/>
      <c r="H142" s="186"/>
      <c r="I142" s="186"/>
      <c r="J142" s="186"/>
      <c r="K142" s="186"/>
      <c r="L142" s="186"/>
      <c r="M142" s="186"/>
      <c r="N142" s="565">
        <f>MAX(N130:S141)</f>
        <v>103.99559698919816</v>
      </c>
      <c r="O142" s="565"/>
      <c r="P142" s="565"/>
      <c r="Q142" s="565"/>
      <c r="R142" s="565"/>
      <c r="S142" s="565"/>
      <c r="T142" s="30"/>
      <c r="U142" s="30"/>
    </row>
    <row r="143" spans="1:26" ht="15">
      <c r="A143" s="30"/>
      <c r="B143" s="186"/>
      <c r="C143" s="186"/>
      <c r="D143" s="186"/>
      <c r="E143" s="186"/>
      <c r="F143" s="186"/>
      <c r="G143" s="186"/>
      <c r="H143" s="186"/>
      <c r="I143" s="186"/>
      <c r="J143" s="186"/>
      <c r="K143" s="186"/>
      <c r="L143" s="186"/>
      <c r="M143" s="186"/>
      <c r="N143" s="566"/>
      <c r="O143" s="566"/>
      <c r="P143" s="566"/>
      <c r="Q143" s="566"/>
      <c r="R143" s="566"/>
      <c r="S143" s="566"/>
      <c r="T143" s="30"/>
      <c r="U143" s="30"/>
    </row>
    <row r="144" spans="1:26" ht="15">
      <c r="A144" s="30"/>
      <c r="B144" s="547" t="s">
        <v>355</v>
      </c>
      <c r="C144" s="547"/>
      <c r="D144" s="547"/>
      <c r="E144" s="547"/>
      <c r="F144" s="547"/>
      <c r="G144" s="547"/>
      <c r="H144" s="547"/>
      <c r="I144" s="547"/>
      <c r="J144" s="547"/>
      <c r="K144" s="547"/>
      <c r="L144" s="547"/>
      <c r="M144" s="547"/>
      <c r="N144" s="547"/>
      <c r="O144" s="547"/>
      <c r="P144" s="547"/>
      <c r="Q144" s="547"/>
      <c r="R144" s="572">
        <f>MIN(I147:J147)</f>
        <v>147.60000000000002</v>
      </c>
      <c r="S144" s="572"/>
      <c r="T144" s="30"/>
      <c r="U144" s="30"/>
    </row>
    <row r="145" spans="1:22" ht="15">
      <c r="A145" s="30"/>
      <c r="B145" s="275"/>
      <c r="C145" s="275"/>
      <c r="D145" s="275"/>
      <c r="E145" s="275"/>
      <c r="F145" s="275"/>
      <c r="G145" s="275"/>
      <c r="H145" s="275"/>
      <c r="I145" s="275"/>
      <c r="J145" s="275"/>
      <c r="K145" s="275"/>
      <c r="L145" s="275"/>
      <c r="M145" s="275"/>
      <c r="N145" s="275"/>
      <c r="O145" s="275"/>
      <c r="P145" s="275"/>
      <c r="Q145" s="275"/>
      <c r="R145" s="470"/>
      <c r="S145" s="470"/>
      <c r="T145" s="30"/>
      <c r="U145" s="30"/>
    </row>
    <row r="146" spans="1:22" ht="15">
      <c r="A146" s="30"/>
      <c r="B146" s="382" t="s">
        <v>356</v>
      </c>
      <c r="C146" s="382"/>
      <c r="D146" s="382"/>
      <c r="E146" s="382"/>
      <c r="F146" s="33">
        <v>0.8</v>
      </c>
      <c r="G146" s="30"/>
      <c r="H146" s="30"/>
      <c r="I146" s="30"/>
      <c r="J146" s="30"/>
      <c r="K146" s="30"/>
      <c r="L146" s="30"/>
      <c r="M146" s="30"/>
      <c r="N146" s="30"/>
      <c r="O146" s="30"/>
      <c r="P146" s="30"/>
      <c r="Q146" s="30"/>
      <c r="R146" s="30"/>
      <c r="S146" s="30"/>
      <c r="T146" s="30"/>
      <c r="U146" s="30"/>
    </row>
    <row r="147" spans="1:22" ht="15">
      <c r="A147" s="30"/>
      <c r="B147" s="30" t="s">
        <v>357</v>
      </c>
      <c r="C147" s="382">
        <f>COVER!J228</f>
        <v>205</v>
      </c>
      <c r="D147" s="382"/>
      <c r="E147" s="30" t="s">
        <v>68</v>
      </c>
      <c r="F147" s="30"/>
      <c r="G147" s="382" t="s">
        <v>359</v>
      </c>
      <c r="H147" s="382"/>
      <c r="I147" s="30">
        <f>1.33*C148</f>
        <v>182.21</v>
      </c>
      <c r="J147" s="30">
        <f>0.9*F146*C147</f>
        <v>147.60000000000002</v>
      </c>
      <c r="K147" s="30" t="s">
        <v>360</v>
      </c>
      <c r="L147" s="30"/>
      <c r="M147" s="30"/>
      <c r="N147" s="30"/>
      <c r="O147" s="30"/>
      <c r="P147" s="30"/>
      <c r="Q147" s="30"/>
      <c r="R147" s="30"/>
      <c r="S147" s="30"/>
      <c r="T147" s="30"/>
      <c r="U147" s="30"/>
    </row>
    <row r="148" spans="1:22" ht="15">
      <c r="A148" s="30"/>
      <c r="B148" s="30" t="s">
        <v>358</v>
      </c>
      <c r="C148" s="382">
        <f>COVER!N228</f>
        <v>137</v>
      </c>
      <c r="D148" s="382"/>
      <c r="E148" s="30" t="s">
        <v>68</v>
      </c>
      <c r="F148" s="30"/>
      <c r="G148" s="30"/>
      <c r="H148" s="30"/>
      <c r="I148" s="30"/>
      <c r="J148" s="30"/>
      <c r="K148" s="30"/>
      <c r="L148" s="30"/>
      <c r="M148" s="30"/>
      <c r="N148" s="30"/>
      <c r="O148" s="30"/>
      <c r="P148" s="30"/>
      <c r="Q148" s="30"/>
      <c r="R148" s="30"/>
      <c r="S148" s="30"/>
      <c r="T148" s="30"/>
      <c r="U148" s="30"/>
    </row>
    <row r="149" spans="1:22" ht="15">
      <c r="A149" s="30"/>
      <c r="B149" s="537" t="s">
        <v>361</v>
      </c>
      <c r="C149" s="537"/>
      <c r="D149" s="537"/>
      <c r="E149" s="537"/>
      <c r="F149" s="537"/>
      <c r="G149" s="537"/>
      <c r="H149" s="537"/>
      <c r="I149" s="537"/>
      <c r="J149" s="537"/>
      <c r="K149" s="537"/>
      <c r="L149" s="537"/>
      <c r="M149" s="537"/>
      <c r="N149" s="537"/>
      <c r="O149" s="537"/>
      <c r="P149" s="382"/>
      <c r="Q149" s="537" t="str">
        <f>IF(N142&lt;R144,"OK","NOT OK")</f>
        <v>OK</v>
      </c>
      <c r="R149" s="537"/>
      <c r="S149" s="537"/>
      <c r="T149" s="30"/>
      <c r="U149" s="30"/>
    </row>
    <row r="150" spans="1:22" ht="15.75" thickBot="1">
      <c r="A150" s="30"/>
      <c r="B150" s="537"/>
      <c r="C150" s="537"/>
      <c r="D150" s="537"/>
      <c r="E150" s="537"/>
      <c r="F150" s="537"/>
      <c r="G150" s="537"/>
      <c r="H150" s="537"/>
      <c r="I150" s="537"/>
      <c r="J150" s="537"/>
      <c r="K150" s="537"/>
      <c r="L150" s="537"/>
      <c r="M150" s="537"/>
      <c r="N150" s="537"/>
      <c r="O150" s="537"/>
      <c r="P150" s="382"/>
      <c r="Q150" s="537"/>
      <c r="R150" s="537"/>
      <c r="S150" s="537"/>
      <c r="T150" s="30"/>
      <c r="U150" s="30"/>
    </row>
    <row r="151" spans="1:22" ht="15" customHeight="1">
      <c r="A151" s="229"/>
      <c r="B151" s="230"/>
      <c r="C151" s="230"/>
      <c r="D151" s="230"/>
      <c r="E151" s="231"/>
      <c r="F151" s="158" t="str">
        <f>F107</f>
        <v>نگهداشت و افزایش تولید میدان نفتی بینک
سطح الارض و ابنیه تحت الارض 
خرید مخازن ذخیره گاز ایستگاه تقویت فشار گاز بینک 
(قرارداد BK-HD-GCS-CO-0026_00 )</v>
      </c>
      <c r="G151" s="159"/>
      <c r="H151" s="159"/>
      <c r="I151" s="159"/>
      <c r="J151" s="159"/>
      <c r="K151" s="159"/>
      <c r="L151" s="159"/>
      <c r="M151" s="159"/>
      <c r="N151" s="159"/>
      <c r="O151" s="159"/>
      <c r="P151" s="159"/>
      <c r="Q151" s="160"/>
      <c r="R151" s="238"/>
      <c r="S151" s="238"/>
      <c r="T151" s="238"/>
      <c r="U151" s="238"/>
      <c r="V151" s="239"/>
    </row>
    <row r="152" spans="1:22">
      <c r="A152" s="232"/>
      <c r="B152" s="233"/>
      <c r="C152" s="233"/>
      <c r="D152" s="233"/>
      <c r="E152" s="234"/>
      <c r="F152" s="161"/>
      <c r="G152" s="162"/>
      <c r="H152" s="162"/>
      <c r="I152" s="162"/>
      <c r="J152" s="162"/>
      <c r="K152" s="162"/>
      <c r="L152" s="162"/>
      <c r="M152" s="162"/>
      <c r="N152" s="162"/>
      <c r="O152" s="162"/>
      <c r="P152" s="162"/>
      <c r="Q152" s="163"/>
      <c r="R152" s="177"/>
      <c r="S152" s="177"/>
      <c r="T152" s="177"/>
      <c r="U152" s="177"/>
      <c r="V152" s="240"/>
    </row>
    <row r="153" spans="1:22">
      <c r="A153" s="232"/>
      <c r="B153" s="233"/>
      <c r="C153" s="233"/>
      <c r="D153" s="233"/>
      <c r="E153" s="234"/>
      <c r="F153" s="161"/>
      <c r="G153" s="162"/>
      <c r="H153" s="162"/>
      <c r="I153" s="162"/>
      <c r="J153" s="162"/>
      <c r="K153" s="162"/>
      <c r="L153" s="162"/>
      <c r="M153" s="162"/>
      <c r="N153" s="162"/>
      <c r="O153" s="162"/>
      <c r="P153" s="162"/>
      <c r="Q153" s="163"/>
      <c r="R153" s="177"/>
      <c r="S153" s="177"/>
      <c r="T153" s="177"/>
      <c r="U153" s="177"/>
      <c r="V153" s="240"/>
    </row>
    <row r="154" spans="1:22">
      <c r="A154" s="232"/>
      <c r="B154" s="233"/>
      <c r="C154" s="233"/>
      <c r="D154" s="233"/>
      <c r="E154" s="234"/>
      <c r="F154" s="161"/>
      <c r="G154" s="162"/>
      <c r="H154" s="162"/>
      <c r="I154" s="162"/>
      <c r="J154" s="162"/>
      <c r="K154" s="162"/>
      <c r="L154" s="162"/>
      <c r="M154" s="162"/>
      <c r="N154" s="162"/>
      <c r="O154" s="162"/>
      <c r="P154" s="162"/>
      <c r="Q154" s="163"/>
      <c r="R154" s="177"/>
      <c r="S154" s="177"/>
      <c r="T154" s="177"/>
      <c r="U154" s="177"/>
      <c r="V154" s="240"/>
    </row>
    <row r="155" spans="1:22">
      <c r="A155" s="232"/>
      <c r="B155" s="233"/>
      <c r="C155" s="233"/>
      <c r="D155" s="233"/>
      <c r="E155" s="234"/>
      <c r="F155" s="164"/>
      <c r="G155" s="165"/>
      <c r="H155" s="165"/>
      <c r="I155" s="165"/>
      <c r="J155" s="165"/>
      <c r="K155" s="165"/>
      <c r="L155" s="165"/>
      <c r="M155" s="165"/>
      <c r="N155" s="165"/>
      <c r="O155" s="165"/>
      <c r="P155" s="165"/>
      <c r="Q155" s="166"/>
      <c r="R155" s="177"/>
      <c r="S155" s="177"/>
      <c r="T155" s="177"/>
      <c r="U155" s="177"/>
      <c r="V155" s="240"/>
    </row>
    <row r="156" spans="1:22" ht="21.6" customHeight="1">
      <c r="A156" s="235"/>
      <c r="B156" s="236"/>
      <c r="C156" s="236"/>
      <c r="D156" s="236"/>
      <c r="E156" s="237"/>
      <c r="F156" s="265" t="str">
        <f>F112</f>
        <v>Mechanical Calculation Book For Fire Water Tanks (TK-2301A/B)</v>
      </c>
      <c r="G156" s="266"/>
      <c r="H156" s="266"/>
      <c r="I156" s="266"/>
      <c r="J156" s="266"/>
      <c r="K156" s="266"/>
      <c r="L156" s="266"/>
      <c r="M156" s="266"/>
      <c r="N156" s="266"/>
      <c r="O156" s="266"/>
      <c r="P156" s="266"/>
      <c r="Q156" s="267"/>
      <c r="R156" s="177"/>
      <c r="S156" s="177"/>
      <c r="T156" s="177"/>
      <c r="U156" s="177"/>
      <c r="V156" s="240"/>
    </row>
    <row r="157" spans="1:22" ht="20.45" customHeight="1">
      <c r="A157" s="167" t="s">
        <v>743</v>
      </c>
      <c r="B157" s="168"/>
      <c r="C157" s="168"/>
      <c r="D157" s="168"/>
      <c r="E157" s="169"/>
      <c r="F157" s="125" t="s">
        <v>744</v>
      </c>
      <c r="G157" s="170" t="s">
        <v>745</v>
      </c>
      <c r="H157" s="171"/>
      <c r="I157" s="170" t="s">
        <v>746</v>
      </c>
      <c r="J157" s="171"/>
      <c r="K157" s="170" t="s">
        <v>747</v>
      </c>
      <c r="L157" s="171"/>
      <c r="M157" s="125" t="s">
        <v>748</v>
      </c>
      <c r="N157" s="170" t="s">
        <v>749</v>
      </c>
      <c r="O157" s="171"/>
      <c r="P157" s="125" t="s">
        <v>750</v>
      </c>
      <c r="Q157" s="126" t="s">
        <v>751</v>
      </c>
      <c r="R157" s="172">
        <f>R63</f>
        <v>29</v>
      </c>
      <c r="S157" s="174" t="s">
        <v>752</v>
      </c>
      <c r="T157" s="263">
        <f>T113+1</f>
        <v>19</v>
      </c>
      <c r="U157" s="168" t="s">
        <v>753</v>
      </c>
      <c r="V157" s="188"/>
    </row>
    <row r="158" spans="1:22" ht="19.149999999999999" customHeight="1" thickBot="1">
      <c r="A158" s="191" t="s">
        <v>754</v>
      </c>
      <c r="B158" s="175"/>
      <c r="C158" s="175"/>
      <c r="D158" s="175"/>
      <c r="E158" s="192"/>
      <c r="F158" s="132" t="s">
        <v>755</v>
      </c>
      <c r="G158" s="193" t="s">
        <v>756</v>
      </c>
      <c r="H158" s="193"/>
      <c r="I158" s="193" t="s">
        <v>878</v>
      </c>
      <c r="J158" s="193"/>
      <c r="K158" s="193">
        <v>120</v>
      </c>
      <c r="L158" s="193"/>
      <c r="M158" s="132" t="s">
        <v>757</v>
      </c>
      <c r="N158" s="193" t="s">
        <v>879</v>
      </c>
      <c r="O158" s="193"/>
      <c r="P158" s="142" t="s">
        <v>881</v>
      </c>
      <c r="Q158" s="133" t="str">
        <f>Q114</f>
        <v>V01</v>
      </c>
      <c r="R158" s="173"/>
      <c r="S158" s="175"/>
      <c r="T158" s="264"/>
      <c r="U158" s="189"/>
      <c r="V158" s="190"/>
    </row>
    <row r="159" spans="1:22" ht="15">
      <c r="A159" s="312" t="s">
        <v>362</v>
      </c>
      <c r="B159" s="312"/>
      <c r="C159" s="312"/>
      <c r="D159" s="312"/>
      <c r="E159" s="312"/>
      <c r="F159" s="312"/>
      <c r="G159" s="312"/>
      <c r="H159" s="312"/>
      <c r="I159" s="312"/>
      <c r="J159" s="312"/>
      <c r="K159" s="312"/>
      <c r="L159" s="30"/>
      <c r="M159" s="30"/>
      <c r="N159" s="30"/>
      <c r="O159" s="30"/>
      <c r="P159" s="30"/>
      <c r="Q159" s="30"/>
      <c r="R159" s="30"/>
      <c r="S159" s="30"/>
      <c r="T159" s="30"/>
      <c r="U159" s="30"/>
      <c r="V159" s="27"/>
    </row>
    <row r="160" spans="1:22" ht="15">
      <c r="A160" s="312"/>
      <c r="B160" s="312"/>
      <c r="C160" s="312"/>
      <c r="D160" s="312"/>
      <c r="E160" s="312"/>
      <c r="F160" s="312"/>
      <c r="G160" s="312"/>
      <c r="H160" s="312"/>
      <c r="I160" s="312"/>
      <c r="J160" s="312"/>
      <c r="K160" s="312"/>
      <c r="L160" s="30"/>
      <c r="M160" s="30"/>
      <c r="N160" s="30"/>
      <c r="O160" s="30"/>
      <c r="P160" s="30"/>
      <c r="Q160" s="30"/>
      <c r="R160" s="30"/>
      <c r="S160" s="30"/>
      <c r="T160" s="30"/>
      <c r="U160" s="30"/>
      <c r="V160" s="27"/>
    </row>
    <row r="161" spans="1:21" ht="15">
      <c r="A161" s="275" t="s">
        <v>477</v>
      </c>
      <c r="B161" s="275"/>
      <c r="C161" s="275"/>
      <c r="D161" s="275"/>
      <c r="E161" s="275"/>
      <c r="F161" s="275"/>
      <c r="G161" s="275"/>
      <c r="H161" s="275"/>
      <c r="I161" s="275"/>
      <c r="J161" s="275"/>
      <c r="K161" s="275"/>
      <c r="L161" s="275"/>
      <c r="M161" s="275"/>
      <c r="N161" s="275"/>
      <c r="O161" s="275"/>
      <c r="P161" s="275"/>
      <c r="Q161" s="275"/>
      <c r="R161" s="378">
        <f>('Shell Plate Design '!S47+('Shell Plate Design '!S47*0.1))*9.8</f>
        <v>224644.09088039608</v>
      </c>
      <c r="S161" s="378"/>
      <c r="T161" s="378" t="s">
        <v>214</v>
      </c>
      <c r="U161" s="30"/>
    </row>
    <row r="162" spans="1:21" ht="15">
      <c r="A162" s="275"/>
      <c r="B162" s="275"/>
      <c r="C162" s="275"/>
      <c r="D162" s="275"/>
      <c r="E162" s="275"/>
      <c r="F162" s="275"/>
      <c r="G162" s="275"/>
      <c r="H162" s="275"/>
      <c r="I162" s="275"/>
      <c r="J162" s="275"/>
      <c r="K162" s="275"/>
      <c r="L162" s="275"/>
      <c r="M162" s="275"/>
      <c r="N162" s="275"/>
      <c r="O162" s="275"/>
      <c r="P162" s="275"/>
      <c r="Q162" s="275"/>
      <c r="R162" s="378"/>
      <c r="S162" s="378"/>
      <c r="T162" s="378"/>
      <c r="U162" s="30"/>
    </row>
    <row r="163" spans="1:21" ht="15">
      <c r="A163" s="379" t="s">
        <v>470</v>
      </c>
      <c r="B163" s="379"/>
      <c r="C163" s="379"/>
      <c r="D163" s="379"/>
      <c r="E163" s="379"/>
      <c r="F163" s="379"/>
      <c r="G163" s="379"/>
      <c r="H163" s="379"/>
      <c r="I163" s="379"/>
      <c r="J163" s="379"/>
      <c r="K163" s="379"/>
      <c r="L163" s="379"/>
      <c r="M163" s="379"/>
      <c r="N163" s="379"/>
      <c r="O163" s="379"/>
      <c r="P163" s="379"/>
      <c r="Q163" s="379"/>
      <c r="R163" s="378">
        <f>'Roof design'!E40*9.8</f>
        <v>130523.21462110002</v>
      </c>
      <c r="S163" s="378"/>
      <c r="T163" s="378" t="s">
        <v>214</v>
      </c>
      <c r="U163" s="30"/>
    </row>
    <row r="164" spans="1:21" ht="15">
      <c r="A164" s="379"/>
      <c r="B164" s="379"/>
      <c r="C164" s="379"/>
      <c r="D164" s="379"/>
      <c r="E164" s="379"/>
      <c r="F164" s="379"/>
      <c r="G164" s="379"/>
      <c r="H164" s="379"/>
      <c r="I164" s="379"/>
      <c r="J164" s="379"/>
      <c r="K164" s="379"/>
      <c r="L164" s="379"/>
      <c r="M164" s="379"/>
      <c r="N164" s="379"/>
      <c r="O164" s="379"/>
      <c r="P164" s="379"/>
      <c r="Q164" s="379"/>
      <c r="R164" s="378"/>
      <c r="S164" s="378"/>
      <c r="T164" s="378"/>
      <c r="U164" s="30"/>
    </row>
    <row r="165" spans="1:21" ht="15">
      <c r="A165" s="379" t="s">
        <v>471</v>
      </c>
      <c r="B165" s="379"/>
      <c r="C165" s="379"/>
      <c r="D165" s="379"/>
      <c r="E165" s="379"/>
      <c r="F165" s="379"/>
      <c r="G165" s="379"/>
      <c r="H165" s="379"/>
      <c r="I165" s="379"/>
      <c r="J165" s="379"/>
      <c r="K165" s="379"/>
      <c r="L165" s="379"/>
      <c r="M165" s="30"/>
      <c r="N165" s="30"/>
      <c r="O165" s="30"/>
      <c r="P165" s="30"/>
      <c r="Q165" s="30"/>
      <c r="R165" s="378">
        <f>('Bottom &amp; Annular plate design'!Q69*9.8)</f>
        <v>89573.820973087553</v>
      </c>
      <c r="S165" s="378"/>
      <c r="T165" s="378" t="s">
        <v>214</v>
      </c>
      <c r="U165" s="30"/>
    </row>
    <row r="166" spans="1:21" ht="15">
      <c r="A166" s="379"/>
      <c r="B166" s="379"/>
      <c r="C166" s="379"/>
      <c r="D166" s="379"/>
      <c r="E166" s="379"/>
      <c r="F166" s="379"/>
      <c r="G166" s="379"/>
      <c r="H166" s="379"/>
      <c r="I166" s="379"/>
      <c r="J166" s="379"/>
      <c r="K166" s="379"/>
      <c r="L166" s="379"/>
      <c r="M166" s="30"/>
      <c r="N166" s="30"/>
      <c r="O166" s="30"/>
      <c r="P166" s="30"/>
      <c r="Q166" s="30"/>
      <c r="R166" s="378"/>
      <c r="S166" s="378"/>
      <c r="T166" s="378"/>
      <c r="U166" s="30"/>
    </row>
    <row r="167" spans="1:21" ht="15">
      <c r="A167" s="275" t="s">
        <v>478</v>
      </c>
      <c r="B167" s="275"/>
      <c r="C167" s="275"/>
      <c r="D167" s="275"/>
      <c r="E167" s="275"/>
      <c r="F167" s="275"/>
      <c r="G167" s="275"/>
      <c r="H167" s="275"/>
      <c r="I167" s="275"/>
      <c r="J167" s="275"/>
      <c r="K167" s="275"/>
      <c r="L167" s="275"/>
      <c r="M167" s="275"/>
      <c r="N167" s="275"/>
      <c r="O167" s="275"/>
      <c r="P167" s="275"/>
      <c r="Q167" s="275"/>
      <c r="R167" s="378">
        <f>(((3.1415*Q34^2)/4)*Q35*Q36*9.88)*1000</f>
        <v>11539935.836000003</v>
      </c>
      <c r="S167" s="378"/>
      <c r="T167" s="378" t="s">
        <v>214</v>
      </c>
      <c r="U167" s="30"/>
    </row>
    <row r="168" spans="1:21" ht="15">
      <c r="A168" s="275"/>
      <c r="B168" s="275"/>
      <c r="C168" s="275"/>
      <c r="D168" s="275"/>
      <c r="E168" s="275"/>
      <c r="F168" s="275"/>
      <c r="G168" s="275"/>
      <c r="H168" s="275"/>
      <c r="I168" s="275"/>
      <c r="J168" s="275"/>
      <c r="K168" s="275"/>
      <c r="L168" s="275"/>
      <c r="M168" s="275"/>
      <c r="N168" s="275"/>
      <c r="O168" s="275"/>
      <c r="P168" s="275"/>
      <c r="Q168" s="275"/>
      <c r="R168" s="378"/>
      <c r="S168" s="378"/>
      <c r="T168" s="378"/>
      <c r="U168" s="30"/>
    </row>
    <row r="169" spans="1:21" ht="15">
      <c r="A169" s="379" t="s">
        <v>472</v>
      </c>
      <c r="B169" s="379"/>
      <c r="C169" s="379"/>
      <c r="D169" s="379"/>
      <c r="E169" s="379"/>
      <c r="F169" s="379"/>
      <c r="G169" s="379"/>
      <c r="H169" s="379"/>
      <c r="I169" s="379"/>
      <c r="J169" s="379"/>
      <c r="K169" s="379"/>
      <c r="L169" s="573" t="str">
        <f>IF(Q34/Q35&gt;=1.33,"E.6.1.1-1","E.6.1.1-2")</f>
        <v>E.6.1.1-1</v>
      </c>
      <c r="M169" s="573"/>
      <c r="N169" s="573"/>
      <c r="O169" s="30"/>
      <c r="P169" s="30"/>
      <c r="Q169" s="30"/>
      <c r="R169" s="382"/>
      <c r="S169" s="382"/>
      <c r="T169" s="30"/>
      <c r="U169" s="30"/>
    </row>
    <row r="170" spans="1:21" ht="15">
      <c r="A170" s="379"/>
      <c r="B170" s="379"/>
      <c r="C170" s="379"/>
      <c r="D170" s="379"/>
      <c r="E170" s="379"/>
      <c r="F170" s="379"/>
      <c r="G170" s="379"/>
      <c r="H170" s="379"/>
      <c r="I170" s="379"/>
      <c r="J170" s="379"/>
      <c r="K170" s="379"/>
      <c r="L170" s="573"/>
      <c r="M170" s="573"/>
      <c r="N170" s="573"/>
      <c r="O170" s="30"/>
      <c r="P170" s="30"/>
      <c r="Q170" s="30"/>
      <c r="R170" s="382"/>
      <c r="S170" s="382"/>
      <c r="T170" s="30"/>
      <c r="U170" s="30"/>
    </row>
    <row r="171" spans="1:21" ht="15">
      <c r="A171" s="30"/>
      <c r="B171" s="30"/>
      <c r="C171" s="30"/>
      <c r="D171" s="30"/>
      <c r="E171" s="30"/>
      <c r="F171" s="30"/>
      <c r="G171" s="30"/>
      <c r="H171" s="30"/>
      <c r="I171" s="30"/>
      <c r="J171" s="30"/>
      <c r="K171" s="30"/>
      <c r="L171" s="30"/>
      <c r="M171" s="30"/>
      <c r="N171" s="30"/>
      <c r="O171" s="30"/>
      <c r="P171" s="30"/>
      <c r="Q171" s="30"/>
      <c r="R171" s="30"/>
      <c r="S171" s="30"/>
      <c r="T171" s="30"/>
      <c r="U171" s="30"/>
    </row>
    <row r="172" spans="1:21" ht="15">
      <c r="A172" s="30"/>
      <c r="B172" s="30"/>
      <c r="C172" s="30"/>
      <c r="D172" s="30"/>
      <c r="E172" s="30"/>
      <c r="F172" s="30"/>
      <c r="G172" s="30"/>
      <c r="H172" s="30"/>
      <c r="I172" s="30"/>
      <c r="J172" s="30"/>
      <c r="K172" s="30"/>
      <c r="L172" s="30"/>
      <c r="M172" s="30"/>
      <c r="N172" s="30"/>
      <c r="O172" s="30"/>
      <c r="P172" s="30"/>
      <c r="Q172" s="30"/>
      <c r="R172" s="30"/>
      <c r="S172" s="30"/>
      <c r="T172" s="30"/>
      <c r="U172" s="30"/>
    </row>
    <row r="173" spans="1:21" ht="15">
      <c r="A173" s="30"/>
      <c r="B173" s="30"/>
      <c r="C173" s="30"/>
      <c r="D173" s="30"/>
      <c r="E173" s="30"/>
      <c r="F173" s="30"/>
      <c r="G173" s="30"/>
      <c r="H173" s="30"/>
      <c r="I173" s="30"/>
      <c r="J173" s="30"/>
      <c r="K173" s="30"/>
      <c r="L173" s="30"/>
      <c r="M173" s="30"/>
      <c r="N173" s="30"/>
      <c r="O173" s="30"/>
      <c r="P173" s="30"/>
      <c r="Q173" s="30"/>
      <c r="R173" s="30"/>
      <c r="S173" s="30"/>
      <c r="T173" s="30"/>
      <c r="U173" s="30"/>
    </row>
    <row r="174" spans="1:21" ht="15">
      <c r="A174" s="30"/>
      <c r="B174" s="30"/>
      <c r="C174" s="30"/>
      <c r="D174" s="30"/>
      <c r="E174" s="30"/>
      <c r="F174" s="30"/>
      <c r="G174" s="30"/>
      <c r="H174" s="30"/>
      <c r="I174" s="30"/>
      <c r="J174" s="30"/>
      <c r="K174" s="30"/>
      <c r="L174" s="30"/>
      <c r="M174" s="30"/>
      <c r="N174" s="30"/>
      <c r="O174" s="30"/>
      <c r="P174" s="30"/>
      <c r="Q174" s="30"/>
      <c r="R174" s="30"/>
      <c r="S174" s="30"/>
      <c r="T174" s="30"/>
      <c r="U174" s="30"/>
    </row>
    <row r="175" spans="1:21" ht="15">
      <c r="A175" s="30"/>
      <c r="B175" s="30"/>
      <c r="C175" s="30"/>
      <c r="D175" s="30"/>
      <c r="E175" s="30"/>
      <c r="F175" s="30"/>
      <c r="G175" s="30"/>
      <c r="H175" s="30"/>
      <c r="I175" s="30"/>
      <c r="J175" s="30"/>
      <c r="K175" s="30"/>
      <c r="L175" s="30"/>
      <c r="M175" s="30"/>
      <c r="N175" s="30"/>
      <c r="O175" s="30"/>
      <c r="P175" s="30"/>
      <c r="Q175" s="30"/>
      <c r="R175" s="30"/>
      <c r="S175" s="30"/>
      <c r="T175" s="30"/>
      <c r="U175" s="30"/>
    </row>
    <row r="176" spans="1:21" ht="15">
      <c r="A176" s="30"/>
      <c r="B176" s="30"/>
      <c r="C176" s="30"/>
      <c r="D176" s="30"/>
      <c r="E176" s="30"/>
      <c r="F176" s="30"/>
      <c r="G176" s="30"/>
      <c r="H176" s="30"/>
      <c r="I176" s="30"/>
      <c r="J176" s="30"/>
      <c r="K176" s="30"/>
      <c r="L176" s="30"/>
      <c r="M176" s="30"/>
      <c r="N176" s="30"/>
      <c r="O176" s="30"/>
      <c r="P176" s="30"/>
      <c r="Q176" s="30"/>
      <c r="R176" s="30"/>
      <c r="S176" s="30"/>
      <c r="T176" s="30"/>
      <c r="U176" s="30"/>
    </row>
    <row r="177" spans="1:21" ht="15">
      <c r="A177" s="30"/>
      <c r="B177" s="30"/>
      <c r="C177" s="30"/>
      <c r="D177" s="30"/>
      <c r="E177" s="30"/>
      <c r="F177" s="30"/>
      <c r="G177" s="30"/>
      <c r="H177" s="30"/>
      <c r="I177" s="30"/>
      <c r="J177" s="30"/>
      <c r="K177" s="30"/>
      <c r="L177" s="30"/>
      <c r="M177" s="30"/>
      <c r="N177" s="30"/>
      <c r="O177" s="30"/>
      <c r="P177" s="30"/>
      <c r="Q177" s="30"/>
      <c r="R177" s="30"/>
      <c r="S177" s="30"/>
      <c r="T177" s="30"/>
      <c r="U177" s="30"/>
    </row>
    <row r="178" spans="1:21" ht="15">
      <c r="A178" s="30"/>
      <c r="B178" s="30"/>
      <c r="C178" s="30"/>
      <c r="D178" s="30"/>
      <c r="E178" s="30"/>
      <c r="F178" s="30"/>
      <c r="G178" s="30"/>
      <c r="H178" s="30"/>
      <c r="I178" s="30"/>
      <c r="J178" s="30"/>
      <c r="K178" s="30"/>
      <c r="L178" s="30"/>
      <c r="M178" s="30"/>
      <c r="N178" s="30"/>
      <c r="O178" s="30"/>
      <c r="P178" s="30"/>
      <c r="Q178" s="30"/>
      <c r="R178" s="30"/>
      <c r="S178" s="30"/>
      <c r="T178" s="30"/>
      <c r="U178" s="30"/>
    </row>
    <row r="179" spans="1:21" ht="15">
      <c r="A179" s="30"/>
      <c r="B179" s="186" t="s">
        <v>363</v>
      </c>
      <c r="C179" s="186"/>
      <c r="D179" s="186"/>
      <c r="E179" s="186"/>
      <c r="F179" s="186"/>
      <c r="G179" s="186"/>
      <c r="H179" s="186" t="str">
        <f>IF((COVER!H153/COVER!H154)&gt;1.33333,"Yes","No")</f>
        <v>Yes</v>
      </c>
      <c r="I179" s="186"/>
      <c r="J179" s="31"/>
      <c r="K179" s="298" t="s">
        <v>364</v>
      </c>
      <c r="L179" s="298"/>
      <c r="M179" s="298"/>
      <c r="N179" s="298"/>
      <c r="O179" s="298"/>
      <c r="P179" s="298"/>
      <c r="Q179" s="298"/>
      <c r="R179" s="298" t="str">
        <f>IF((COVER!H153/COVER!H154)&lt;1.33333,"Yes","No")</f>
        <v>No</v>
      </c>
      <c r="S179" s="298"/>
      <c r="T179" s="30"/>
      <c r="U179" s="30"/>
    </row>
    <row r="180" spans="1:21" ht="15">
      <c r="A180" s="30"/>
      <c r="B180" s="186"/>
      <c r="C180" s="186"/>
      <c r="D180" s="186"/>
      <c r="E180" s="186"/>
      <c r="F180" s="186"/>
      <c r="G180" s="186"/>
      <c r="H180" s="186"/>
      <c r="I180" s="186"/>
      <c r="J180" s="31"/>
      <c r="K180" s="298"/>
      <c r="L180" s="298"/>
      <c r="M180" s="298"/>
      <c r="N180" s="298"/>
      <c r="O180" s="298"/>
      <c r="P180" s="298"/>
      <c r="Q180" s="298"/>
      <c r="R180" s="298"/>
      <c r="S180" s="298"/>
      <c r="T180" s="30"/>
      <c r="U180" s="30"/>
    </row>
    <row r="181" spans="1:21" ht="15">
      <c r="A181" s="30"/>
      <c r="B181" s="539" t="s">
        <v>473</v>
      </c>
      <c r="C181" s="378">
        <f>((TANH(0.866*(Q34/Q35)))/((0.866*(Q34/Q35))))*R167</f>
        <v>7724179.6049205512</v>
      </c>
      <c r="D181" s="378"/>
      <c r="E181" s="378"/>
      <c r="F181" s="378"/>
      <c r="G181" s="378"/>
      <c r="H181" s="378" t="s">
        <v>214</v>
      </c>
      <c r="I181" s="526"/>
      <c r="J181" s="378"/>
      <c r="K181" s="539" t="s">
        <v>473</v>
      </c>
      <c r="L181" s="378">
        <f>(1-(0.218*(Q34/Q35)))*R167</f>
        <v>7823551.9542700024</v>
      </c>
      <c r="M181" s="378"/>
      <c r="N181" s="378"/>
      <c r="O181" s="378"/>
      <c r="P181" s="378"/>
      <c r="Q181" s="378"/>
      <c r="R181" s="378" t="s">
        <v>214</v>
      </c>
      <c r="S181" s="526"/>
      <c r="T181" s="30"/>
      <c r="U181" s="30"/>
    </row>
    <row r="182" spans="1:21" ht="15">
      <c r="A182" s="30"/>
      <c r="B182" s="539"/>
      <c r="C182" s="378"/>
      <c r="D182" s="378"/>
      <c r="E182" s="378"/>
      <c r="F182" s="378"/>
      <c r="G182" s="378"/>
      <c r="H182" s="378"/>
      <c r="I182" s="526"/>
      <c r="J182" s="378"/>
      <c r="K182" s="539"/>
      <c r="L182" s="378"/>
      <c r="M182" s="378"/>
      <c r="N182" s="378"/>
      <c r="O182" s="378"/>
      <c r="P182" s="378"/>
      <c r="Q182" s="378"/>
      <c r="R182" s="378"/>
      <c r="S182" s="526"/>
      <c r="T182" s="30"/>
      <c r="U182" s="30"/>
    </row>
    <row r="183" spans="1:21" ht="15">
      <c r="A183" s="30"/>
      <c r="B183" s="540"/>
      <c r="C183" s="285"/>
      <c r="D183" s="285"/>
      <c r="E183" s="285"/>
      <c r="F183" s="285"/>
      <c r="G183" s="285"/>
      <c r="H183" s="285"/>
      <c r="I183" s="286"/>
      <c r="J183" s="378"/>
      <c r="K183" s="540"/>
      <c r="L183" s="285"/>
      <c r="M183" s="285"/>
      <c r="N183" s="285"/>
      <c r="O183" s="285"/>
      <c r="P183" s="285"/>
      <c r="Q183" s="285"/>
      <c r="R183" s="285"/>
      <c r="S183" s="286"/>
      <c r="T183" s="30"/>
      <c r="U183" s="30"/>
    </row>
    <row r="184" spans="1:21" ht="15">
      <c r="A184" s="30"/>
      <c r="B184" s="30"/>
      <c r="C184" s="30"/>
      <c r="D184" s="30"/>
      <c r="E184" s="30"/>
      <c r="F184" s="30"/>
      <c r="G184" s="30"/>
      <c r="H184" s="30"/>
      <c r="I184" s="30"/>
      <c r="J184" s="30"/>
      <c r="K184" s="30"/>
      <c r="L184" s="30"/>
      <c r="M184" s="30"/>
      <c r="N184" s="30"/>
      <c r="O184" s="30"/>
      <c r="P184" s="30"/>
      <c r="Q184" s="30"/>
      <c r="R184" s="30"/>
      <c r="S184" s="30"/>
      <c r="T184" s="30"/>
      <c r="U184" s="30"/>
    </row>
    <row r="185" spans="1:21" ht="15">
      <c r="A185" s="30"/>
      <c r="B185" s="379" t="s">
        <v>365</v>
      </c>
      <c r="C185" s="379"/>
      <c r="D185" s="379"/>
      <c r="E185" s="379"/>
      <c r="F185" s="379"/>
      <c r="G185" s="379"/>
      <c r="H185" s="379"/>
      <c r="I185" s="379"/>
      <c r="J185" s="379"/>
      <c r="K185" s="379"/>
      <c r="L185" s="379"/>
      <c r="M185" s="379"/>
      <c r="N185" s="379"/>
      <c r="O185" s="379"/>
      <c r="P185" s="379"/>
      <c r="Q185" s="379"/>
      <c r="R185" s="379"/>
      <c r="S185" s="379"/>
      <c r="T185" s="30"/>
      <c r="U185" s="30"/>
    </row>
    <row r="186" spans="1:21" ht="15">
      <c r="A186" s="30"/>
      <c r="B186" s="379"/>
      <c r="C186" s="379"/>
      <c r="D186" s="379"/>
      <c r="E186" s="379"/>
      <c r="F186" s="379"/>
      <c r="G186" s="379"/>
      <c r="H186" s="379"/>
      <c r="I186" s="379"/>
      <c r="J186" s="379"/>
      <c r="K186" s="379"/>
      <c r="L186" s="379"/>
      <c r="M186" s="379"/>
      <c r="N186" s="379"/>
      <c r="O186" s="379"/>
      <c r="P186" s="379"/>
      <c r="Q186" s="379"/>
      <c r="R186" s="379"/>
      <c r="S186" s="379"/>
      <c r="T186" s="30"/>
      <c r="U186" s="30"/>
    </row>
    <row r="187" spans="1:21" ht="15">
      <c r="A187" s="30"/>
      <c r="B187" s="379" t="s">
        <v>474</v>
      </c>
      <c r="C187" s="379"/>
      <c r="D187" s="379"/>
      <c r="E187" s="379"/>
      <c r="F187" s="379"/>
      <c r="G187" s="379"/>
      <c r="H187" s="379"/>
      <c r="I187" s="379"/>
      <c r="J187" s="379"/>
      <c r="K187" s="379"/>
      <c r="L187" s="379"/>
      <c r="M187" s="379"/>
      <c r="N187" s="379"/>
      <c r="O187" s="379"/>
      <c r="P187" s="379"/>
      <c r="Q187" s="379"/>
      <c r="R187" s="378">
        <f>0.23*(Q34/Q35)*TANH(3.67*(Q35/Q34))*R167</f>
        <v>3866808.9500840395</v>
      </c>
      <c r="S187" s="378"/>
      <c r="T187" s="378" t="s">
        <v>214</v>
      </c>
      <c r="U187" s="30"/>
    </row>
    <row r="188" spans="1:21" ht="15">
      <c r="A188" s="30"/>
      <c r="B188" s="379"/>
      <c r="C188" s="379"/>
      <c r="D188" s="379"/>
      <c r="E188" s="379"/>
      <c r="F188" s="379"/>
      <c r="G188" s="379"/>
      <c r="H188" s="379"/>
      <c r="I188" s="379"/>
      <c r="J188" s="379"/>
      <c r="K188" s="379"/>
      <c r="L188" s="379"/>
      <c r="M188" s="379"/>
      <c r="N188" s="379"/>
      <c r="O188" s="379"/>
      <c r="P188" s="379"/>
      <c r="Q188" s="379"/>
      <c r="R188" s="378"/>
      <c r="S188" s="378"/>
      <c r="T188" s="378"/>
      <c r="U188" s="30"/>
    </row>
    <row r="189" spans="1:21" ht="15">
      <c r="A189" s="30"/>
      <c r="B189" s="312" t="s">
        <v>366</v>
      </c>
      <c r="C189" s="312"/>
      <c r="D189" s="312"/>
      <c r="E189" s="312"/>
      <c r="F189" s="312"/>
      <c r="G189" s="312"/>
      <c r="H189" s="312"/>
      <c r="I189" s="312"/>
      <c r="J189" s="312"/>
      <c r="K189" s="312"/>
      <c r="L189" s="312"/>
      <c r="M189" s="312"/>
      <c r="N189" s="312"/>
      <c r="O189" s="312"/>
      <c r="P189" s="312"/>
      <c r="Q189" s="312"/>
      <c r="R189" s="312"/>
      <c r="S189" s="312"/>
      <c r="T189" s="312"/>
      <c r="U189" s="30"/>
    </row>
    <row r="190" spans="1:21" ht="15">
      <c r="A190" s="30"/>
      <c r="B190" s="312"/>
      <c r="C190" s="312"/>
      <c r="D190" s="312"/>
      <c r="E190" s="312"/>
      <c r="F190" s="312"/>
      <c r="G190" s="312"/>
      <c r="H190" s="312"/>
      <c r="I190" s="312"/>
      <c r="J190" s="312"/>
      <c r="K190" s="312"/>
      <c r="L190" s="312"/>
      <c r="M190" s="312"/>
      <c r="N190" s="312"/>
      <c r="O190" s="312"/>
      <c r="P190" s="312"/>
      <c r="Q190" s="312"/>
      <c r="R190" s="312"/>
      <c r="S190" s="312"/>
      <c r="T190" s="312"/>
      <c r="U190" s="30"/>
    </row>
    <row r="191" spans="1:21" ht="15">
      <c r="A191" s="30"/>
      <c r="B191" s="538" t="s">
        <v>475</v>
      </c>
      <c r="C191" s="538"/>
      <c r="D191" s="538"/>
      <c r="E191" s="538"/>
      <c r="F191" s="538"/>
      <c r="G191" s="538"/>
      <c r="H191" s="538"/>
      <c r="I191" s="538"/>
      <c r="J191" s="538"/>
      <c r="K191" s="538"/>
      <c r="L191" s="538"/>
      <c r="M191" s="538"/>
      <c r="N191" s="538"/>
      <c r="O191" s="538"/>
      <c r="P191" s="538"/>
      <c r="Q191" s="538"/>
      <c r="R191" s="378">
        <f>COVER!H154/1000</f>
        <v>9.5</v>
      </c>
      <c r="S191" s="378"/>
      <c r="T191" s="378" t="s">
        <v>258</v>
      </c>
      <c r="U191" s="30"/>
    </row>
    <row r="192" spans="1:21" ht="15">
      <c r="A192" s="30"/>
      <c r="B192" s="538"/>
      <c r="C192" s="538"/>
      <c r="D192" s="538"/>
      <c r="E192" s="538"/>
      <c r="F192" s="538"/>
      <c r="G192" s="538"/>
      <c r="H192" s="538"/>
      <c r="I192" s="538"/>
      <c r="J192" s="538"/>
      <c r="K192" s="538"/>
      <c r="L192" s="538"/>
      <c r="M192" s="538"/>
      <c r="N192" s="538"/>
      <c r="O192" s="538"/>
      <c r="P192" s="538"/>
      <c r="Q192" s="538"/>
      <c r="R192" s="378"/>
      <c r="S192" s="378"/>
      <c r="T192" s="378"/>
      <c r="U192" s="30"/>
    </row>
    <row r="193" spans="1:22" ht="15">
      <c r="A193" s="30"/>
      <c r="B193" s="379" t="s">
        <v>476</v>
      </c>
      <c r="C193" s="379"/>
      <c r="D193" s="379"/>
      <c r="E193" s="379"/>
      <c r="F193" s="379"/>
      <c r="G193" s="379"/>
      <c r="H193" s="379"/>
      <c r="I193" s="379"/>
      <c r="J193" s="379"/>
      <c r="K193" s="379"/>
      <c r="L193" s="379"/>
      <c r="M193" s="379"/>
      <c r="N193" s="379"/>
      <c r="O193" s="379"/>
      <c r="P193" s="379"/>
      <c r="Q193" s="379"/>
      <c r="R193" s="380">
        <f>I212</f>
        <v>4.656779661016949</v>
      </c>
      <c r="S193" s="380"/>
      <c r="T193" s="378" t="s">
        <v>258</v>
      </c>
      <c r="U193" s="30"/>
    </row>
    <row r="194" spans="1:22" ht="15">
      <c r="A194" s="30"/>
      <c r="B194" s="379"/>
      <c r="C194" s="379"/>
      <c r="D194" s="379"/>
      <c r="E194" s="379"/>
      <c r="F194" s="379"/>
      <c r="G194" s="379"/>
      <c r="H194" s="379"/>
      <c r="I194" s="379"/>
      <c r="J194" s="379"/>
      <c r="K194" s="379"/>
      <c r="L194" s="379"/>
      <c r="M194" s="379"/>
      <c r="N194" s="379"/>
      <c r="O194" s="379"/>
      <c r="P194" s="379"/>
      <c r="Q194" s="379"/>
      <c r="R194" s="380"/>
      <c r="S194" s="380"/>
      <c r="T194" s="378"/>
      <c r="U194" s="30"/>
    </row>
    <row r="195" spans="1:22" ht="15">
      <c r="A195" s="30"/>
      <c r="B195" s="177" t="s">
        <v>367</v>
      </c>
      <c r="C195" s="177"/>
      <c r="D195" s="177"/>
      <c r="E195" s="177" t="s">
        <v>261</v>
      </c>
      <c r="F195" s="177"/>
      <c r="G195" s="177"/>
      <c r="H195" s="177" t="s">
        <v>706</v>
      </c>
      <c r="I195" s="177"/>
      <c r="J195" s="177"/>
      <c r="K195" s="177" t="s">
        <v>707</v>
      </c>
      <c r="L195" s="177"/>
      <c r="M195" s="177"/>
      <c r="N195" s="177" t="s">
        <v>708</v>
      </c>
      <c r="O195" s="177"/>
      <c r="P195" s="177"/>
      <c r="Q195" s="177" t="s">
        <v>709</v>
      </c>
      <c r="R195" s="177"/>
      <c r="S195" s="177"/>
      <c r="T195" s="382"/>
      <c r="U195" s="382"/>
    </row>
    <row r="196" spans="1:22" ht="15">
      <c r="A196" s="30"/>
      <c r="B196" s="177" t="s">
        <v>448</v>
      </c>
      <c r="C196" s="177"/>
      <c r="D196" s="177"/>
      <c r="E196" s="177">
        <f>'Shell Plate Design '!O39</f>
        <v>8</v>
      </c>
      <c r="F196" s="177"/>
      <c r="G196" s="177"/>
      <c r="H196" s="177">
        <f>'Shell Plate Design '!D39/1000</f>
        <v>2</v>
      </c>
      <c r="I196" s="177"/>
      <c r="J196" s="177"/>
      <c r="K196" s="177">
        <f>H196/2</f>
        <v>1</v>
      </c>
      <c r="L196" s="177"/>
      <c r="M196" s="177"/>
      <c r="N196" s="518">
        <f>$Q$34*PI()*H196*(E196/1000)*7850</f>
        <v>5129.5924847814149</v>
      </c>
      <c r="O196" s="518"/>
      <c r="P196" s="518"/>
      <c r="Q196" s="518">
        <f>N196*K196</f>
        <v>5129.5924847814149</v>
      </c>
      <c r="R196" s="518"/>
      <c r="S196" s="518"/>
      <c r="T196" s="382"/>
      <c r="U196" s="382"/>
    </row>
    <row r="197" spans="1:22" ht="15">
      <c r="A197" s="30"/>
      <c r="B197" s="177" t="s">
        <v>449</v>
      </c>
      <c r="C197" s="177"/>
      <c r="D197" s="177"/>
      <c r="E197" s="177">
        <f>'Shell Plate Design '!O40</f>
        <v>8</v>
      </c>
      <c r="F197" s="177"/>
      <c r="G197" s="177"/>
      <c r="H197" s="177">
        <f>'Shell Plate Design '!D40/1000</f>
        <v>2</v>
      </c>
      <c r="I197" s="177"/>
      <c r="J197" s="177"/>
      <c r="K197" s="177">
        <f>H197/2+(H196)</f>
        <v>3</v>
      </c>
      <c r="L197" s="177"/>
      <c r="M197" s="177"/>
      <c r="N197" s="518">
        <f t="shared" ref="N197:N200" si="34">$Q$34*PI()*H197*(E197/1000)*7850</f>
        <v>5129.5924847814149</v>
      </c>
      <c r="O197" s="518"/>
      <c r="P197" s="518"/>
      <c r="Q197" s="518">
        <f t="shared" ref="Q197:Q200" si="35">N197*K197</f>
        <v>15388.777454344245</v>
      </c>
      <c r="R197" s="518"/>
      <c r="S197" s="518"/>
      <c r="T197" s="382"/>
      <c r="U197" s="382"/>
    </row>
    <row r="198" spans="1:22" ht="15">
      <c r="A198" s="30"/>
      <c r="B198" s="177" t="s">
        <v>450</v>
      </c>
      <c r="C198" s="177"/>
      <c r="D198" s="177"/>
      <c r="E198" s="177">
        <f>'Shell Plate Design '!O41</f>
        <v>6</v>
      </c>
      <c r="F198" s="177"/>
      <c r="G198" s="177"/>
      <c r="H198" s="177">
        <f>'Shell Plate Design '!D41/1000</f>
        <v>1.5</v>
      </c>
      <c r="I198" s="177"/>
      <c r="J198" s="177"/>
      <c r="K198" s="177">
        <f>H198/2+(H196+H197)</f>
        <v>4.75</v>
      </c>
      <c r="L198" s="177"/>
      <c r="M198" s="177"/>
      <c r="N198" s="518">
        <f t="shared" si="34"/>
        <v>2885.395772689546</v>
      </c>
      <c r="O198" s="518"/>
      <c r="P198" s="518"/>
      <c r="Q198" s="518">
        <f t="shared" si="35"/>
        <v>13705.629920275343</v>
      </c>
      <c r="R198" s="518"/>
      <c r="S198" s="518"/>
      <c r="T198" s="382"/>
      <c r="U198" s="382"/>
    </row>
    <row r="199" spans="1:22" ht="15">
      <c r="A199" s="30"/>
      <c r="B199" s="177" t="s">
        <v>451</v>
      </c>
      <c r="C199" s="177"/>
      <c r="D199" s="177"/>
      <c r="E199" s="177">
        <f>'Shell Plate Design '!O42</f>
        <v>6</v>
      </c>
      <c r="F199" s="177"/>
      <c r="G199" s="177"/>
      <c r="H199" s="177">
        <f>'Shell Plate Design '!D42/1000</f>
        <v>1.5</v>
      </c>
      <c r="I199" s="177"/>
      <c r="J199" s="177"/>
      <c r="K199" s="177">
        <f>H199/2+(H196+H197+H198)</f>
        <v>6.25</v>
      </c>
      <c r="L199" s="177"/>
      <c r="M199" s="177"/>
      <c r="N199" s="518">
        <f t="shared" si="34"/>
        <v>2885.395772689546</v>
      </c>
      <c r="O199" s="518"/>
      <c r="P199" s="518"/>
      <c r="Q199" s="518">
        <f t="shared" si="35"/>
        <v>18033.723579309662</v>
      </c>
      <c r="R199" s="518"/>
      <c r="S199" s="518"/>
      <c r="T199" s="382"/>
      <c r="U199" s="382"/>
    </row>
    <row r="200" spans="1:22" ht="15">
      <c r="A200" s="30"/>
      <c r="B200" s="177" t="s">
        <v>452</v>
      </c>
      <c r="C200" s="177"/>
      <c r="D200" s="177"/>
      <c r="E200" s="177">
        <f>'Shell Plate Design '!O43</f>
        <v>6</v>
      </c>
      <c r="F200" s="177"/>
      <c r="G200" s="177"/>
      <c r="H200" s="177">
        <f>'Shell Plate Design '!D43/1000</f>
        <v>1.5</v>
      </c>
      <c r="I200" s="177"/>
      <c r="J200" s="177"/>
      <c r="K200" s="177">
        <f>H200/2+(H196+H197+H198+H199)</f>
        <v>7.75</v>
      </c>
      <c r="L200" s="177"/>
      <c r="M200" s="177"/>
      <c r="N200" s="518">
        <f t="shared" si="34"/>
        <v>2885.395772689546</v>
      </c>
      <c r="O200" s="518"/>
      <c r="P200" s="518"/>
      <c r="Q200" s="518">
        <f t="shared" si="35"/>
        <v>22361.817238343981</v>
      </c>
      <c r="R200" s="518"/>
      <c r="S200" s="518"/>
      <c r="T200" s="382"/>
      <c r="U200" s="382"/>
    </row>
    <row r="201" spans="1:22" ht="15">
      <c r="A201" s="30"/>
      <c r="B201" s="177" t="s">
        <v>505</v>
      </c>
      <c r="C201" s="177"/>
      <c r="D201" s="177"/>
      <c r="E201" s="177">
        <f>'Shell Plate Design '!O44</f>
        <v>6</v>
      </c>
      <c r="F201" s="177"/>
      <c r="G201" s="177"/>
      <c r="H201" s="177">
        <f>'Shell Plate Design '!D44/1000</f>
        <v>1</v>
      </c>
      <c r="I201" s="177"/>
      <c r="J201" s="177"/>
      <c r="K201" s="177">
        <f>H201/2+(H197+H198+H199+H200)</f>
        <v>7</v>
      </c>
      <c r="L201" s="177"/>
      <c r="M201" s="177"/>
      <c r="N201" s="518">
        <f t="shared" ref="N201" si="36">$Q$34*PI()*H201*(E201/1000)*7850</f>
        <v>1923.5971817930306</v>
      </c>
      <c r="O201" s="518"/>
      <c r="P201" s="518"/>
      <c r="Q201" s="518">
        <f t="shared" ref="Q201" si="37">N201*K201</f>
        <v>13465.180272551213</v>
      </c>
      <c r="R201" s="518"/>
      <c r="S201" s="518"/>
      <c r="T201" s="33"/>
      <c r="U201" s="33"/>
    </row>
    <row r="202" spans="1:22" ht="15">
      <c r="A202" s="30"/>
      <c r="B202" s="177" t="s">
        <v>369</v>
      </c>
      <c r="C202" s="177"/>
      <c r="D202" s="177"/>
      <c r="E202" s="177"/>
      <c r="F202" s="177"/>
      <c r="G202" s="177"/>
      <c r="H202" s="177">
        <f>SUM(H196:J201)</f>
        <v>9.5</v>
      </c>
      <c r="I202" s="177"/>
      <c r="J202" s="177"/>
      <c r="K202" s="177">
        <f>SUM(K196:M201)</f>
        <v>29.75</v>
      </c>
      <c r="L202" s="177"/>
      <c r="M202" s="177"/>
      <c r="N202" s="518">
        <f>SUM(N196:P200)</f>
        <v>18915.372287631468</v>
      </c>
      <c r="O202" s="518"/>
      <c r="P202" s="518"/>
      <c r="Q202" s="518">
        <f>SUM(Q196:S201)</f>
        <v>88084.720949605849</v>
      </c>
      <c r="R202" s="518"/>
      <c r="S202" s="518"/>
      <c r="T202" s="382"/>
      <c r="U202" s="382"/>
    </row>
    <row r="203" spans="1:22" ht="15.75" thickBot="1">
      <c r="A203" s="30"/>
      <c r="B203" s="30"/>
      <c r="C203" s="30"/>
      <c r="D203" s="30"/>
      <c r="E203" s="30"/>
      <c r="F203" s="30"/>
      <c r="G203" s="30"/>
      <c r="H203" s="30"/>
      <c r="I203" s="30"/>
      <c r="J203" s="30"/>
      <c r="K203" s="30"/>
      <c r="L203" s="30"/>
      <c r="M203" s="30"/>
      <c r="N203" s="30"/>
      <c r="O203" s="30"/>
      <c r="P203" s="30"/>
      <c r="Q203" s="30"/>
      <c r="R203" s="30"/>
      <c r="S203" s="30"/>
      <c r="T203" s="30"/>
      <c r="U203" s="30"/>
    </row>
    <row r="204" spans="1:22" ht="15" customHeight="1">
      <c r="A204" s="229"/>
      <c r="B204" s="230"/>
      <c r="C204" s="230"/>
      <c r="D204" s="230"/>
      <c r="E204" s="231"/>
      <c r="F204" s="158" t="str">
        <f>F151</f>
        <v>نگهداشت و افزایش تولید میدان نفتی بینک
سطح الارض و ابنیه تحت الارض 
خرید مخازن ذخیره گاز ایستگاه تقویت فشار گاز بینک 
(قرارداد BK-HD-GCS-CO-0026_00 )</v>
      </c>
      <c r="G204" s="159"/>
      <c r="H204" s="159"/>
      <c r="I204" s="159"/>
      <c r="J204" s="159"/>
      <c r="K204" s="159"/>
      <c r="L204" s="159"/>
      <c r="M204" s="159"/>
      <c r="N204" s="159"/>
      <c r="O204" s="159"/>
      <c r="P204" s="159"/>
      <c r="Q204" s="160"/>
      <c r="R204" s="238"/>
      <c r="S204" s="238"/>
      <c r="T204" s="238"/>
      <c r="U204" s="238"/>
      <c r="V204" s="239"/>
    </row>
    <row r="205" spans="1:22">
      <c r="A205" s="232"/>
      <c r="B205" s="233"/>
      <c r="C205" s="233"/>
      <c r="D205" s="233"/>
      <c r="E205" s="234"/>
      <c r="F205" s="161"/>
      <c r="G205" s="162"/>
      <c r="H205" s="162"/>
      <c r="I205" s="162"/>
      <c r="J205" s="162"/>
      <c r="K205" s="162"/>
      <c r="L205" s="162"/>
      <c r="M205" s="162"/>
      <c r="N205" s="162"/>
      <c r="O205" s="162"/>
      <c r="P205" s="162"/>
      <c r="Q205" s="163"/>
      <c r="R205" s="177"/>
      <c r="S205" s="177"/>
      <c r="T205" s="177"/>
      <c r="U205" s="177"/>
      <c r="V205" s="240"/>
    </row>
    <row r="206" spans="1:22">
      <c r="A206" s="232"/>
      <c r="B206" s="233"/>
      <c r="C206" s="233"/>
      <c r="D206" s="233"/>
      <c r="E206" s="234"/>
      <c r="F206" s="161"/>
      <c r="G206" s="162"/>
      <c r="H206" s="162"/>
      <c r="I206" s="162"/>
      <c r="J206" s="162"/>
      <c r="K206" s="162"/>
      <c r="L206" s="162"/>
      <c r="M206" s="162"/>
      <c r="N206" s="162"/>
      <c r="O206" s="162"/>
      <c r="P206" s="162"/>
      <c r="Q206" s="163"/>
      <c r="R206" s="177"/>
      <c r="S206" s="177"/>
      <c r="T206" s="177"/>
      <c r="U206" s="177"/>
      <c r="V206" s="240"/>
    </row>
    <row r="207" spans="1:22">
      <c r="A207" s="232"/>
      <c r="B207" s="233"/>
      <c r="C207" s="233"/>
      <c r="D207" s="233"/>
      <c r="E207" s="234"/>
      <c r="F207" s="161"/>
      <c r="G207" s="162"/>
      <c r="H207" s="162"/>
      <c r="I207" s="162"/>
      <c r="J207" s="162"/>
      <c r="K207" s="162"/>
      <c r="L207" s="162"/>
      <c r="M207" s="162"/>
      <c r="N207" s="162"/>
      <c r="O207" s="162"/>
      <c r="P207" s="162"/>
      <c r="Q207" s="163"/>
      <c r="R207" s="177"/>
      <c r="S207" s="177"/>
      <c r="T207" s="177"/>
      <c r="U207" s="177"/>
      <c r="V207" s="240"/>
    </row>
    <row r="208" spans="1:22">
      <c r="A208" s="232"/>
      <c r="B208" s="233"/>
      <c r="C208" s="233"/>
      <c r="D208" s="233"/>
      <c r="E208" s="234"/>
      <c r="F208" s="164"/>
      <c r="G208" s="165"/>
      <c r="H208" s="165"/>
      <c r="I208" s="165"/>
      <c r="J208" s="165"/>
      <c r="K208" s="165"/>
      <c r="L208" s="165"/>
      <c r="M208" s="165"/>
      <c r="N208" s="165"/>
      <c r="O208" s="165"/>
      <c r="P208" s="165"/>
      <c r="Q208" s="166"/>
      <c r="R208" s="177"/>
      <c r="S208" s="177"/>
      <c r="T208" s="177"/>
      <c r="U208" s="177"/>
      <c r="V208" s="240"/>
    </row>
    <row r="209" spans="1:22" ht="22.9" customHeight="1">
      <c r="A209" s="235"/>
      <c r="B209" s="236"/>
      <c r="C209" s="236"/>
      <c r="D209" s="236"/>
      <c r="E209" s="237"/>
      <c r="F209" s="265" t="str">
        <f>F156</f>
        <v>Mechanical Calculation Book For Fire Water Tanks (TK-2301A/B)</v>
      </c>
      <c r="G209" s="266"/>
      <c r="H209" s="266"/>
      <c r="I209" s="266"/>
      <c r="J209" s="266"/>
      <c r="K209" s="266"/>
      <c r="L209" s="266"/>
      <c r="M209" s="266"/>
      <c r="N209" s="266"/>
      <c r="O209" s="266"/>
      <c r="P209" s="266"/>
      <c r="Q209" s="267"/>
      <c r="R209" s="177"/>
      <c r="S209" s="177"/>
      <c r="T209" s="177"/>
      <c r="U209" s="177"/>
      <c r="V209" s="240"/>
    </row>
    <row r="210" spans="1:22" ht="16.149999999999999" customHeight="1">
      <c r="A210" s="167" t="s">
        <v>743</v>
      </c>
      <c r="B210" s="168"/>
      <c r="C210" s="168"/>
      <c r="D210" s="168"/>
      <c r="E210" s="169"/>
      <c r="F210" s="125" t="s">
        <v>744</v>
      </c>
      <c r="G210" s="170" t="s">
        <v>745</v>
      </c>
      <c r="H210" s="171"/>
      <c r="I210" s="170" t="s">
        <v>746</v>
      </c>
      <c r="J210" s="171"/>
      <c r="K210" s="170" t="s">
        <v>747</v>
      </c>
      <c r="L210" s="171"/>
      <c r="M210" s="125" t="s">
        <v>748</v>
      </c>
      <c r="N210" s="170" t="s">
        <v>749</v>
      </c>
      <c r="O210" s="171"/>
      <c r="P210" s="125" t="s">
        <v>750</v>
      </c>
      <c r="Q210" s="126" t="s">
        <v>751</v>
      </c>
      <c r="R210" s="172">
        <f>R157</f>
        <v>29</v>
      </c>
      <c r="S210" s="174" t="s">
        <v>752</v>
      </c>
      <c r="T210" s="263">
        <f>T157+1</f>
        <v>20</v>
      </c>
      <c r="U210" s="168" t="s">
        <v>753</v>
      </c>
      <c r="V210" s="188"/>
    </row>
    <row r="211" spans="1:22" ht="20.45" customHeight="1" thickBot="1">
      <c r="A211" s="191" t="s">
        <v>754</v>
      </c>
      <c r="B211" s="175"/>
      <c r="C211" s="175"/>
      <c r="D211" s="175"/>
      <c r="E211" s="192"/>
      <c r="F211" s="132" t="s">
        <v>755</v>
      </c>
      <c r="G211" s="193" t="s">
        <v>756</v>
      </c>
      <c r="H211" s="193"/>
      <c r="I211" s="193" t="s">
        <v>878</v>
      </c>
      <c r="J211" s="193"/>
      <c r="K211" s="193">
        <v>120</v>
      </c>
      <c r="L211" s="193"/>
      <c r="M211" s="132" t="s">
        <v>757</v>
      </c>
      <c r="N211" s="193" t="s">
        <v>879</v>
      </c>
      <c r="O211" s="193"/>
      <c r="P211" s="142" t="s">
        <v>881</v>
      </c>
      <c r="Q211" s="133" t="str">
        <f>Q158</f>
        <v>V01</v>
      </c>
      <c r="R211" s="173"/>
      <c r="S211" s="175"/>
      <c r="T211" s="264"/>
      <c r="U211" s="189"/>
      <c r="V211" s="190"/>
    </row>
    <row r="212" spans="1:22" ht="15">
      <c r="A212" s="524" t="s">
        <v>711</v>
      </c>
      <c r="B212" s="524"/>
      <c r="C212" s="524"/>
      <c r="D212" s="378" t="s">
        <v>710</v>
      </c>
      <c r="E212" s="378"/>
      <c r="F212" s="378"/>
      <c r="G212" s="30"/>
      <c r="H212" s="30"/>
      <c r="I212" s="521">
        <f>Q202/N202</f>
        <v>4.656779661016949</v>
      </c>
      <c r="J212" s="521"/>
      <c r="K212" s="378" t="s">
        <v>258</v>
      </c>
      <c r="L212" s="378"/>
      <c r="M212" s="30"/>
      <c r="N212" s="30"/>
      <c r="O212" s="30"/>
      <c r="P212" s="30"/>
      <c r="Q212" s="30"/>
      <c r="R212" s="30"/>
      <c r="S212" s="30"/>
      <c r="T212" s="30"/>
      <c r="U212" s="30"/>
    </row>
    <row r="213" spans="1:22" ht="15">
      <c r="A213" s="524"/>
      <c r="B213" s="524"/>
      <c r="C213" s="524"/>
      <c r="D213" s="378"/>
      <c r="E213" s="378"/>
      <c r="F213" s="378"/>
      <c r="G213" s="30"/>
      <c r="H213" s="30"/>
      <c r="I213" s="521"/>
      <c r="J213" s="521"/>
      <c r="K213" s="378"/>
      <c r="L213" s="378"/>
      <c r="M213" s="30"/>
      <c r="N213" s="30"/>
      <c r="O213" s="30"/>
      <c r="P213" s="30"/>
      <c r="Q213" s="30"/>
      <c r="R213" s="30"/>
      <c r="S213" s="30"/>
      <c r="T213" s="30"/>
      <c r="U213" s="30"/>
    </row>
    <row r="214" spans="1:22" ht="15">
      <c r="B214" s="387" t="s">
        <v>370</v>
      </c>
      <c r="C214" s="387"/>
      <c r="D214" s="387"/>
      <c r="E214" s="387"/>
      <c r="F214" s="387"/>
      <c r="G214" s="387"/>
      <c r="H214" s="387"/>
      <c r="I214" s="387"/>
      <c r="J214" s="387"/>
      <c r="K214" s="387"/>
      <c r="L214" s="387"/>
      <c r="M214" s="387"/>
      <c r="N214" s="387"/>
      <c r="O214" s="387"/>
      <c r="P214" s="387"/>
      <c r="Q214" s="387"/>
      <c r="R214" s="520" t="str">
        <f>IF(Q34/Q35&gt;=1.3333,"E.6.1.2.2-1","E.6.1.2.2-2")</f>
        <v>E.6.1.2.2-1</v>
      </c>
      <c r="S214" s="520"/>
      <c r="T214" s="520"/>
      <c r="U214" s="30"/>
    </row>
    <row r="215" spans="1:22" ht="15">
      <c r="B215" s="387"/>
      <c r="C215" s="387"/>
      <c r="D215" s="387"/>
      <c r="E215" s="387"/>
      <c r="F215" s="387"/>
      <c r="G215" s="387"/>
      <c r="H215" s="387"/>
      <c r="I215" s="387"/>
      <c r="J215" s="387"/>
      <c r="K215" s="387"/>
      <c r="L215" s="387"/>
      <c r="M215" s="387"/>
      <c r="N215" s="387"/>
      <c r="O215" s="387"/>
      <c r="P215" s="387"/>
      <c r="Q215" s="387"/>
      <c r="R215" s="520"/>
      <c r="S215" s="520"/>
      <c r="T215" s="520"/>
      <c r="U215" s="30"/>
    </row>
    <row r="216" spans="1:22" ht="15">
      <c r="B216" s="387"/>
      <c r="C216" s="387"/>
      <c r="D216" s="387"/>
      <c r="E216" s="387"/>
      <c r="F216" s="387"/>
      <c r="G216" s="387"/>
      <c r="H216" s="387"/>
      <c r="I216" s="387"/>
      <c r="J216" s="387"/>
      <c r="K216" s="387"/>
      <c r="L216" s="387"/>
      <c r="M216" s="387"/>
      <c r="N216" s="387"/>
      <c r="O216" s="387"/>
      <c r="P216" s="387"/>
      <c r="Q216" s="387"/>
      <c r="R216" s="520"/>
      <c r="S216" s="520"/>
      <c r="T216" s="520"/>
      <c r="U216" s="30"/>
    </row>
    <row r="217" spans="1:22" ht="15">
      <c r="B217" s="379" t="s">
        <v>371</v>
      </c>
      <c r="C217" s="379"/>
      <c r="D217" s="379"/>
      <c r="E217" s="379"/>
      <c r="F217" s="379"/>
      <c r="G217" s="379"/>
      <c r="H217" s="379"/>
      <c r="I217" s="379"/>
      <c r="J217" s="379"/>
      <c r="K217" s="379"/>
      <c r="L217" s="379"/>
      <c r="M217" s="379"/>
      <c r="N217" s="379"/>
      <c r="O217" s="379"/>
      <c r="P217" s="379"/>
      <c r="Q217" s="379"/>
      <c r="R217" s="379"/>
      <c r="S217" s="379"/>
      <c r="T217" s="379"/>
      <c r="U217" s="30"/>
    </row>
    <row r="218" spans="1:22" ht="15">
      <c r="B218" s="379"/>
      <c r="C218" s="379"/>
      <c r="D218" s="379"/>
      <c r="E218" s="379"/>
      <c r="F218" s="379"/>
      <c r="G218" s="379"/>
      <c r="H218" s="379"/>
      <c r="I218" s="379"/>
      <c r="J218" s="379"/>
      <c r="K218" s="379"/>
      <c r="L218" s="379"/>
      <c r="M218" s="379"/>
      <c r="N218" s="379"/>
      <c r="O218" s="379"/>
      <c r="P218" s="379"/>
      <c r="Q218" s="379"/>
      <c r="R218" s="379"/>
      <c r="S218" s="379"/>
      <c r="T218" s="379"/>
      <c r="U218" s="30"/>
    </row>
    <row r="219" spans="1:22" ht="15">
      <c r="B219" s="30"/>
      <c r="C219" s="30"/>
      <c r="D219" s="30"/>
      <c r="E219" s="30"/>
      <c r="F219" s="30"/>
      <c r="G219" s="30"/>
      <c r="H219" s="30"/>
      <c r="I219" s="30"/>
      <c r="J219" s="30"/>
      <c r="K219" s="30"/>
      <c r="L219" s="30"/>
      <c r="M219" s="30"/>
      <c r="N219" s="30"/>
      <c r="O219" s="30"/>
      <c r="P219" s="30"/>
      <c r="Q219" s="30"/>
      <c r="R219" s="30"/>
      <c r="S219" s="30"/>
      <c r="T219" s="30"/>
      <c r="U219" s="30"/>
    </row>
    <row r="220" spans="1:22" ht="15">
      <c r="B220" s="30"/>
      <c r="C220" s="30"/>
      <c r="D220" s="30"/>
      <c r="E220" s="30"/>
      <c r="F220" s="30"/>
      <c r="G220" s="30"/>
      <c r="H220" s="30"/>
      <c r="I220" s="30"/>
      <c r="J220" s="30"/>
      <c r="K220" s="30"/>
      <c r="L220" s="30"/>
      <c r="M220" s="30"/>
      <c r="N220" s="30"/>
      <c r="O220" s="30"/>
      <c r="P220" s="30"/>
      <c r="Q220" s="30"/>
      <c r="R220" s="30"/>
      <c r="S220" s="30"/>
      <c r="T220" s="30"/>
      <c r="U220" s="30"/>
    </row>
    <row r="221" spans="1:22" ht="15">
      <c r="B221" s="30"/>
      <c r="C221" s="30"/>
      <c r="D221" s="30"/>
      <c r="E221" s="30"/>
      <c r="F221" s="30"/>
      <c r="G221" s="30"/>
      <c r="H221" s="30"/>
      <c r="I221" s="30"/>
      <c r="J221" s="30"/>
      <c r="K221" s="30"/>
      <c r="L221" s="30"/>
      <c r="M221" s="30"/>
      <c r="N221" s="30"/>
      <c r="O221" s="30"/>
      <c r="P221" s="30"/>
      <c r="Q221" s="30"/>
      <c r="R221" s="30"/>
      <c r="S221" s="30"/>
      <c r="T221" s="30"/>
      <c r="U221" s="30"/>
    </row>
    <row r="222" spans="1:22" ht="15">
      <c r="B222" s="30"/>
      <c r="C222" s="30"/>
      <c r="D222" s="30"/>
      <c r="E222" s="30"/>
      <c r="F222" s="30"/>
      <c r="G222" s="30"/>
      <c r="H222" s="30"/>
      <c r="I222" s="30"/>
      <c r="J222" s="30"/>
      <c r="K222" s="30"/>
      <c r="L222" s="30"/>
      <c r="M222" s="30"/>
      <c r="N222" s="30"/>
      <c r="O222" s="30"/>
      <c r="P222" s="30"/>
      <c r="Q222" s="30"/>
      <c r="R222" s="30"/>
      <c r="S222" s="30"/>
      <c r="T222" s="30"/>
      <c r="U222" s="30"/>
    </row>
    <row r="223" spans="1:22" ht="15">
      <c r="B223" s="379" t="s">
        <v>372</v>
      </c>
      <c r="C223" s="379"/>
      <c r="D223" s="379"/>
      <c r="E223" s="379"/>
      <c r="F223" s="379"/>
      <c r="G223" s="379"/>
      <c r="H223" s="379"/>
      <c r="I223" s="379"/>
      <c r="J223" s="379"/>
      <c r="K223" s="379"/>
      <c r="L223" s="379"/>
      <c r="M223" s="379"/>
      <c r="N223" s="379"/>
      <c r="O223" s="379"/>
      <c r="P223" s="379"/>
      <c r="Q223" s="379"/>
      <c r="R223" s="379"/>
      <c r="S223" s="379"/>
      <c r="T223" s="30"/>
      <c r="U223" s="30"/>
    </row>
    <row r="224" spans="1:22" ht="15">
      <c r="B224" s="379"/>
      <c r="C224" s="379"/>
      <c r="D224" s="379"/>
      <c r="E224" s="379"/>
      <c r="F224" s="379"/>
      <c r="G224" s="379"/>
      <c r="H224" s="379"/>
      <c r="I224" s="379"/>
      <c r="J224" s="379"/>
      <c r="K224" s="379"/>
      <c r="L224" s="379"/>
      <c r="M224" s="379"/>
      <c r="N224" s="379"/>
      <c r="O224" s="379"/>
      <c r="P224" s="379"/>
      <c r="Q224" s="379"/>
      <c r="R224" s="379"/>
      <c r="S224" s="379"/>
      <c r="T224" s="30"/>
      <c r="U224" s="30"/>
    </row>
    <row r="225" spans="2:21" ht="15">
      <c r="B225" s="30"/>
      <c r="C225" s="30"/>
      <c r="D225" s="30"/>
      <c r="E225" s="30"/>
      <c r="F225" s="30"/>
      <c r="G225" s="30"/>
      <c r="H225" s="30"/>
      <c r="I225" s="30"/>
      <c r="J225" s="30"/>
      <c r="K225" s="30"/>
      <c r="L225" s="30"/>
      <c r="M225" s="30"/>
      <c r="N225" s="30"/>
      <c r="O225" s="30"/>
      <c r="P225" s="30"/>
      <c r="Q225" s="30"/>
      <c r="R225" s="30"/>
      <c r="S225" s="30"/>
      <c r="T225" s="30"/>
      <c r="U225" s="30"/>
    </row>
    <row r="226" spans="2:21" ht="15">
      <c r="B226" s="30"/>
      <c r="C226" s="30"/>
      <c r="D226" s="30"/>
      <c r="E226" s="30"/>
      <c r="F226" s="30"/>
      <c r="G226" s="30"/>
      <c r="H226" s="30"/>
      <c r="I226" s="30"/>
      <c r="J226" s="30"/>
      <c r="K226" s="30"/>
      <c r="L226" s="30"/>
      <c r="M226" s="30"/>
      <c r="N226" s="30"/>
      <c r="O226" s="30"/>
      <c r="P226" s="30"/>
      <c r="Q226" s="30"/>
      <c r="R226" s="30"/>
      <c r="S226" s="30"/>
      <c r="T226" s="30"/>
      <c r="U226" s="30"/>
    </row>
    <row r="227" spans="2:21" ht="15">
      <c r="B227" s="30"/>
      <c r="C227" s="30"/>
      <c r="D227" s="30"/>
      <c r="E227" s="30"/>
      <c r="F227" s="30"/>
      <c r="G227" s="30"/>
      <c r="H227" s="30"/>
      <c r="I227" s="30"/>
      <c r="J227" s="30"/>
      <c r="K227" s="30"/>
      <c r="L227" s="30"/>
      <c r="M227" s="30"/>
      <c r="N227" s="30"/>
      <c r="O227" s="30"/>
      <c r="P227" s="30"/>
      <c r="Q227" s="30"/>
      <c r="R227" s="30"/>
      <c r="S227" s="30"/>
      <c r="T227" s="30"/>
      <c r="U227" s="30"/>
    </row>
    <row r="228" spans="2:21" ht="15">
      <c r="B228" s="186" t="s">
        <v>373</v>
      </c>
      <c r="C228" s="186"/>
      <c r="D228" s="186"/>
      <c r="E228" s="186"/>
      <c r="F228" s="186"/>
      <c r="G228" s="186"/>
      <c r="H228" s="186"/>
      <c r="I228" s="186" t="str">
        <f>IF((COVER!H153/COVER!H154)&gt;1.33333,"Yes","No")</f>
        <v>Yes</v>
      </c>
      <c r="J228" s="186"/>
      <c r="K228" s="70"/>
      <c r="L228" s="70"/>
      <c r="M228" s="298" t="s">
        <v>374</v>
      </c>
      <c r="N228" s="298"/>
      <c r="O228" s="298"/>
      <c r="P228" s="298"/>
      <c r="Q228" s="298"/>
      <c r="R228" s="298" t="str">
        <f>IF((COVER!H153/COVER!H154)&lt;1.33333,"Yes","No")</f>
        <v>No</v>
      </c>
      <c r="S228" s="298"/>
      <c r="T228" s="30"/>
      <c r="U228" s="30" t="s">
        <v>674</v>
      </c>
    </row>
    <row r="229" spans="2:21" ht="15">
      <c r="B229" s="186"/>
      <c r="C229" s="186"/>
      <c r="D229" s="186"/>
      <c r="E229" s="186"/>
      <c r="F229" s="186"/>
      <c r="G229" s="186"/>
      <c r="H229" s="186"/>
      <c r="I229" s="186"/>
      <c r="J229" s="186"/>
      <c r="K229" s="70"/>
      <c r="L229" s="70"/>
      <c r="M229" s="298"/>
      <c r="N229" s="298"/>
      <c r="O229" s="298"/>
      <c r="P229" s="298"/>
      <c r="Q229" s="298"/>
      <c r="R229" s="298"/>
      <c r="S229" s="298"/>
      <c r="T229" s="30"/>
      <c r="U229" s="30"/>
    </row>
    <row r="230" spans="2:21" ht="15">
      <c r="B230" s="564" t="s">
        <v>479</v>
      </c>
      <c r="C230" s="380">
        <f>0.375*(1+(1.333*(((0.866*(Q34/Q35))/(TANH((0.866*(Q34/Q35)))))-1)))*Q35</f>
        <v>5.4730631527784173</v>
      </c>
      <c r="D230" s="380"/>
      <c r="E230" s="380"/>
      <c r="F230" s="380"/>
      <c r="G230" s="380"/>
      <c r="H230" s="380"/>
      <c r="I230" s="174" t="s">
        <v>258</v>
      </c>
      <c r="J230" s="174"/>
      <c r="L230" s="564" t="s">
        <v>479</v>
      </c>
      <c r="M230" s="523">
        <f>(0.5+(0.06*(Q34/Q35)))*Q35</f>
        <v>5.1800000000000006</v>
      </c>
      <c r="N230" s="523"/>
      <c r="O230" s="523"/>
      <c r="P230" s="523"/>
      <c r="Q230" s="523"/>
      <c r="R230" s="523"/>
      <c r="S230" s="378" t="s">
        <v>258</v>
      </c>
      <c r="T230" s="30"/>
      <c r="U230" s="30"/>
    </row>
    <row r="231" spans="2:21" ht="15">
      <c r="B231" s="564"/>
      <c r="C231" s="380"/>
      <c r="D231" s="380"/>
      <c r="E231" s="380"/>
      <c r="F231" s="380"/>
      <c r="G231" s="380"/>
      <c r="H231" s="380"/>
      <c r="I231" s="378"/>
      <c r="J231" s="378"/>
      <c r="L231" s="564"/>
      <c r="M231" s="380"/>
      <c r="N231" s="380"/>
      <c r="O231" s="380"/>
      <c r="P231" s="380"/>
      <c r="Q231" s="380"/>
      <c r="R231" s="380"/>
      <c r="S231" s="378"/>
      <c r="T231" s="30"/>
      <c r="U231" s="30"/>
    </row>
    <row r="232" spans="2:21" ht="15" customHeight="1">
      <c r="B232" s="30"/>
      <c r="C232" s="30"/>
      <c r="D232" s="30"/>
      <c r="E232" s="30"/>
      <c r="F232" s="30"/>
      <c r="G232" s="30"/>
      <c r="H232" s="30"/>
      <c r="I232" s="30"/>
      <c r="J232" s="30"/>
      <c r="K232" s="30"/>
      <c r="L232" s="30"/>
      <c r="M232" s="30"/>
      <c r="N232" s="30"/>
      <c r="O232" s="30"/>
      <c r="P232" s="30"/>
      <c r="Q232" s="30"/>
      <c r="R232" s="30"/>
      <c r="S232" s="30"/>
      <c r="T232" s="30"/>
      <c r="U232" s="30"/>
    </row>
    <row r="233" spans="2:21" ht="15">
      <c r="B233" s="387" t="s">
        <v>480</v>
      </c>
      <c r="C233" s="379"/>
      <c r="D233" s="379"/>
      <c r="E233" s="379"/>
      <c r="F233" s="379"/>
      <c r="G233" s="379"/>
      <c r="H233" s="379"/>
      <c r="I233" s="379"/>
      <c r="J233" s="379"/>
      <c r="K233" s="379"/>
      <c r="L233" s="379"/>
      <c r="M233" s="379"/>
      <c r="N233" s="379"/>
      <c r="O233" s="379"/>
      <c r="P233" s="379"/>
      <c r="Q233" s="379"/>
      <c r="R233" s="379"/>
      <c r="S233" s="30"/>
      <c r="T233" s="30"/>
      <c r="U233" s="30"/>
    </row>
    <row r="234" spans="2:21" ht="15">
      <c r="B234" s="379"/>
      <c r="C234" s="379"/>
      <c r="D234" s="379"/>
      <c r="E234" s="379"/>
      <c r="F234" s="379"/>
      <c r="G234" s="379"/>
      <c r="H234" s="379"/>
      <c r="I234" s="379"/>
      <c r="J234" s="379"/>
      <c r="K234" s="379"/>
      <c r="L234" s="379"/>
      <c r="M234" s="379"/>
      <c r="N234" s="379"/>
      <c r="O234" s="379"/>
      <c r="P234" s="379"/>
      <c r="Q234" s="379"/>
      <c r="R234" s="379"/>
      <c r="S234" s="30"/>
      <c r="T234" s="30"/>
      <c r="U234" s="30"/>
    </row>
    <row r="235" spans="2:21" ht="15">
      <c r="B235" s="379"/>
      <c r="C235" s="379"/>
      <c r="D235" s="379"/>
      <c r="E235" s="379"/>
      <c r="F235" s="379"/>
      <c r="G235" s="379"/>
      <c r="H235" s="379"/>
      <c r="I235" s="379"/>
      <c r="J235" s="379"/>
      <c r="K235" s="379"/>
      <c r="L235" s="379"/>
      <c r="M235" s="379"/>
      <c r="N235" s="379"/>
      <c r="O235" s="379"/>
      <c r="P235" s="379"/>
      <c r="Q235" s="379"/>
      <c r="R235" s="379"/>
      <c r="S235" s="30"/>
      <c r="T235" s="30"/>
      <c r="U235" s="30"/>
    </row>
    <row r="236" spans="2:21" ht="15">
      <c r="B236" s="30"/>
      <c r="C236" s="30"/>
      <c r="D236" s="30"/>
      <c r="E236" s="30"/>
      <c r="F236" s="30"/>
      <c r="G236" s="30"/>
      <c r="H236" s="30"/>
      <c r="I236" s="30"/>
      <c r="J236" s="382"/>
      <c r="K236" s="521">
        <f>(1-(((COSH(3.67*(Q35/Q34)))-1.937)/(((3.67*(Q35/Q34)))*(SINH((3.67*(Q35/Q34)))))))*Q35</f>
        <v>6.3604119030793296</v>
      </c>
      <c r="L236" s="521"/>
      <c r="M236" s="521"/>
      <c r="N236" s="521"/>
      <c r="O236" s="521"/>
      <c r="P236" s="521"/>
      <c r="Q236" s="521"/>
      <c r="R236" s="521"/>
      <c r="S236" s="378" t="s">
        <v>258</v>
      </c>
      <c r="T236" s="378"/>
      <c r="U236" s="30"/>
    </row>
    <row r="237" spans="2:21" ht="15">
      <c r="B237" s="30"/>
      <c r="C237" s="30"/>
      <c r="D237" s="30"/>
      <c r="E237" s="30"/>
      <c r="F237" s="30"/>
      <c r="G237" s="30"/>
      <c r="H237" s="30"/>
      <c r="I237" s="30"/>
      <c r="J237" s="382"/>
      <c r="K237" s="521"/>
      <c r="L237" s="521"/>
      <c r="M237" s="521"/>
      <c r="N237" s="521"/>
      <c r="O237" s="521"/>
      <c r="P237" s="521"/>
      <c r="Q237" s="521"/>
      <c r="R237" s="521"/>
      <c r="S237" s="378"/>
      <c r="T237" s="378"/>
      <c r="U237" s="30"/>
    </row>
    <row r="238" spans="2:21" ht="15">
      <c r="B238" s="30"/>
      <c r="C238" s="30"/>
      <c r="D238" s="30"/>
      <c r="E238" s="30"/>
      <c r="F238" s="30"/>
      <c r="G238" s="30"/>
      <c r="H238" s="30"/>
      <c r="I238" s="30"/>
      <c r="J238" s="382"/>
      <c r="K238" s="521"/>
      <c r="L238" s="521"/>
      <c r="M238" s="521"/>
      <c r="N238" s="521"/>
      <c r="O238" s="521"/>
      <c r="P238" s="521"/>
      <c r="Q238" s="521"/>
      <c r="R238" s="521"/>
      <c r="S238" s="378"/>
      <c r="T238" s="378"/>
      <c r="U238" s="30"/>
    </row>
    <row r="239" spans="2:21" ht="15">
      <c r="B239" s="30"/>
      <c r="C239" s="30"/>
      <c r="D239" s="30"/>
      <c r="E239" s="30"/>
      <c r="F239" s="30"/>
      <c r="G239" s="30"/>
      <c r="H239" s="30"/>
      <c r="I239" s="30"/>
      <c r="J239" s="382"/>
      <c r="K239" s="521"/>
      <c r="L239" s="521"/>
      <c r="M239" s="521"/>
      <c r="N239" s="521"/>
      <c r="O239" s="521"/>
      <c r="P239" s="521"/>
      <c r="Q239" s="521"/>
      <c r="R239" s="521"/>
      <c r="S239" s="378"/>
      <c r="T239" s="378"/>
      <c r="U239" s="30"/>
    </row>
    <row r="240" spans="2:21" ht="15">
      <c r="B240" s="387" t="s">
        <v>481</v>
      </c>
      <c r="C240" s="387"/>
      <c r="D240" s="387"/>
      <c r="E240" s="387"/>
      <c r="F240" s="387"/>
      <c r="G240" s="387"/>
      <c r="H240" s="387"/>
      <c r="I240" s="387"/>
      <c r="J240" s="387"/>
      <c r="K240" s="387"/>
      <c r="L240" s="387"/>
      <c r="M240" s="387"/>
      <c r="N240" s="387"/>
      <c r="O240" s="387"/>
      <c r="P240" s="387"/>
      <c r="Q240" s="387"/>
      <c r="R240" s="387"/>
      <c r="S240" s="387"/>
      <c r="T240" s="26"/>
      <c r="U240" s="30"/>
    </row>
    <row r="241" spans="2:21" ht="15">
      <c r="B241" s="387"/>
      <c r="C241" s="387"/>
      <c r="D241" s="387"/>
      <c r="E241" s="387"/>
      <c r="F241" s="387"/>
      <c r="G241" s="387"/>
      <c r="H241" s="387"/>
      <c r="I241" s="387"/>
      <c r="J241" s="387"/>
      <c r="K241" s="387"/>
      <c r="L241" s="387"/>
      <c r="M241" s="387"/>
      <c r="N241" s="387"/>
      <c r="O241" s="387"/>
      <c r="P241" s="387"/>
      <c r="Q241" s="387"/>
      <c r="R241" s="387"/>
      <c r="S241" s="387"/>
      <c r="T241" s="26"/>
      <c r="U241" s="30"/>
    </row>
    <row r="242" spans="2:21" ht="15">
      <c r="B242" s="30"/>
      <c r="C242" s="30"/>
      <c r="D242" s="30"/>
      <c r="E242" s="30"/>
      <c r="F242" s="30"/>
      <c r="G242" s="30"/>
      <c r="H242" s="30"/>
      <c r="I242" s="30"/>
      <c r="J242" s="33"/>
      <c r="K242" s="26"/>
      <c r="L242" s="26"/>
      <c r="M242" s="26"/>
      <c r="N242" s="26"/>
      <c r="O242" s="26"/>
      <c r="P242" s="26"/>
      <c r="Q242" s="26"/>
      <c r="R242" s="26"/>
      <c r="S242" s="26"/>
      <c r="T242" s="26"/>
      <c r="U242" s="30"/>
    </row>
    <row r="243" spans="2:21" ht="15">
      <c r="B243" s="30"/>
      <c r="C243" s="30"/>
      <c r="D243" s="30"/>
      <c r="E243" s="30"/>
      <c r="F243" s="30"/>
      <c r="G243" s="30"/>
      <c r="H243" s="30"/>
      <c r="I243" s="30"/>
      <c r="J243" s="33"/>
      <c r="K243" s="26"/>
      <c r="L243" s="26"/>
      <c r="M243" s="26"/>
      <c r="N243" s="26"/>
      <c r="O243" s="26"/>
      <c r="P243" s="26"/>
      <c r="Q243" s="26"/>
      <c r="R243" s="26"/>
      <c r="S243" s="26"/>
      <c r="T243" s="26"/>
      <c r="U243" s="30"/>
    </row>
    <row r="244" spans="2:21" ht="15">
      <c r="B244" s="30"/>
      <c r="C244" s="30"/>
      <c r="D244" s="30"/>
      <c r="E244" s="30"/>
      <c r="F244" s="30"/>
      <c r="G244" s="30"/>
      <c r="H244" s="30"/>
      <c r="I244" s="30"/>
      <c r="J244" s="33"/>
      <c r="K244" s="26"/>
      <c r="L244" s="26"/>
      <c r="M244" s="26"/>
      <c r="N244" s="26"/>
      <c r="O244" s="26"/>
      <c r="P244" s="26"/>
      <c r="Q244" s="26"/>
      <c r="R244" s="26"/>
      <c r="S244" s="26"/>
      <c r="T244" s="26"/>
      <c r="U244" s="30"/>
    </row>
    <row r="245" spans="2:21" ht="15">
      <c r="B245" s="30"/>
      <c r="C245" s="30"/>
      <c r="D245" s="30"/>
      <c r="E245" s="30"/>
      <c r="F245" s="30"/>
      <c r="G245" s="30"/>
      <c r="H245" s="30"/>
      <c r="I245" s="30"/>
      <c r="J245" s="33"/>
      <c r="K245" s="26"/>
      <c r="L245" s="26"/>
      <c r="M245" s="26"/>
      <c r="N245" s="26"/>
      <c r="O245" s="26"/>
      <c r="P245" s="26"/>
      <c r="Q245" s="26"/>
      <c r="R245" s="26"/>
      <c r="S245" s="26"/>
      <c r="T245" s="26"/>
      <c r="U245" s="30"/>
    </row>
    <row r="246" spans="2:21" ht="15">
      <c r="B246" s="172" t="s">
        <v>379</v>
      </c>
      <c r="C246" s="174"/>
      <c r="D246" s="174"/>
      <c r="E246" s="174"/>
      <c r="F246" s="174"/>
      <c r="G246" s="174"/>
      <c r="H246" s="174"/>
      <c r="I246" s="186" t="str">
        <f>IF((COVER!H153/COVER!H154)&gt;1.33333,"Yes","No")</f>
        <v>Yes</v>
      </c>
      <c r="J246" s="186"/>
      <c r="M246" s="172" t="s">
        <v>380</v>
      </c>
      <c r="N246" s="174"/>
      <c r="O246" s="174"/>
      <c r="P246" s="174"/>
      <c r="Q246" s="174"/>
      <c r="R246" s="174"/>
      <c r="S246" s="186" t="str">
        <f>IF((COVER!H153/COVER!H154)&lt;1.33333,"Yes","No")</f>
        <v>No</v>
      </c>
      <c r="T246" s="186"/>
      <c r="U246" s="30"/>
    </row>
    <row r="247" spans="2:21" ht="15">
      <c r="B247" s="284"/>
      <c r="C247" s="285"/>
      <c r="D247" s="285"/>
      <c r="E247" s="285"/>
      <c r="F247" s="285"/>
      <c r="G247" s="285"/>
      <c r="H247" s="285"/>
      <c r="I247" s="186"/>
      <c r="J247" s="186"/>
      <c r="M247" s="284"/>
      <c r="N247" s="285"/>
      <c r="O247" s="285"/>
      <c r="P247" s="285"/>
      <c r="Q247" s="285"/>
      <c r="R247" s="285"/>
      <c r="S247" s="186"/>
      <c r="T247" s="186"/>
      <c r="U247" s="30"/>
    </row>
    <row r="248" spans="2:21" ht="15">
      <c r="B248" s="172" t="s">
        <v>482</v>
      </c>
      <c r="C248" s="174">
        <f>0.375*Q35</f>
        <v>3.3000000000000003</v>
      </c>
      <c r="D248" s="174"/>
      <c r="E248" s="174"/>
      <c r="F248" s="174"/>
      <c r="G248" s="174"/>
      <c r="H248" s="174"/>
      <c r="I248" s="174" t="s">
        <v>258</v>
      </c>
      <c r="J248" s="283"/>
      <c r="K248" s="31"/>
      <c r="L248" s="378"/>
      <c r="M248" s="172" t="s">
        <v>482</v>
      </c>
      <c r="N248" s="545">
        <f>(0.5-(0.094*(Q34/Q35)))*Q35</f>
        <v>3.1780000000000004</v>
      </c>
      <c r="O248" s="545"/>
      <c r="P248" s="545"/>
      <c r="Q248" s="545"/>
      <c r="R248" s="545"/>
      <c r="S248" s="545"/>
      <c r="T248" s="283" t="s">
        <v>258</v>
      </c>
      <c r="U248" s="30"/>
    </row>
    <row r="249" spans="2:21" ht="15">
      <c r="B249" s="284"/>
      <c r="C249" s="285"/>
      <c r="D249" s="285"/>
      <c r="E249" s="285"/>
      <c r="F249" s="285"/>
      <c r="G249" s="285"/>
      <c r="H249" s="285"/>
      <c r="I249" s="285"/>
      <c r="J249" s="286"/>
      <c r="K249" s="31"/>
      <c r="L249" s="378"/>
      <c r="M249" s="284"/>
      <c r="N249" s="546"/>
      <c r="O249" s="546"/>
      <c r="P249" s="546"/>
      <c r="Q249" s="546"/>
      <c r="R249" s="546"/>
      <c r="S249" s="546"/>
      <c r="T249" s="286"/>
      <c r="U249" s="30"/>
    </row>
    <row r="250" spans="2:21" ht="15">
      <c r="B250" s="387" t="s">
        <v>381</v>
      </c>
      <c r="C250" s="387"/>
      <c r="D250" s="387"/>
      <c r="E250" s="387"/>
      <c r="F250" s="387"/>
      <c r="G250" s="387"/>
      <c r="H250" s="387"/>
      <c r="I250" s="387"/>
      <c r="J250" s="387"/>
      <c r="K250" s="387"/>
      <c r="L250" s="387"/>
      <c r="M250" s="387"/>
      <c r="N250" s="387"/>
      <c r="O250" s="387"/>
      <c r="P250" s="387"/>
      <c r="Q250" s="387"/>
      <c r="R250" s="387"/>
      <c r="S250" s="387"/>
      <c r="T250" s="387"/>
      <c r="U250" s="30"/>
    </row>
    <row r="251" spans="2:21" ht="15">
      <c r="B251" s="387"/>
      <c r="C251" s="387"/>
      <c r="D251" s="387"/>
      <c r="E251" s="387"/>
      <c r="F251" s="387"/>
      <c r="G251" s="387"/>
      <c r="H251" s="387"/>
      <c r="I251" s="387"/>
      <c r="J251" s="387"/>
      <c r="K251" s="387"/>
      <c r="L251" s="387"/>
      <c r="M251" s="387"/>
      <c r="N251" s="387"/>
      <c r="O251" s="387"/>
      <c r="P251" s="387"/>
      <c r="Q251" s="387"/>
      <c r="R251" s="387"/>
      <c r="S251" s="387"/>
      <c r="T251" s="387"/>
      <c r="U251" s="26"/>
    </row>
    <row r="252" spans="2:21" ht="15">
      <c r="B252" s="387"/>
      <c r="C252" s="387"/>
      <c r="D252" s="387"/>
      <c r="E252" s="387"/>
      <c r="F252" s="387"/>
      <c r="G252" s="387"/>
      <c r="H252" s="387"/>
      <c r="I252" s="387"/>
      <c r="J252" s="387"/>
      <c r="K252" s="387"/>
      <c r="L252" s="387"/>
      <c r="M252" s="387"/>
      <c r="N252" s="387"/>
      <c r="O252" s="387"/>
      <c r="P252" s="387"/>
      <c r="Q252" s="387"/>
      <c r="R252" s="387"/>
      <c r="S252" s="387"/>
      <c r="T252" s="387"/>
      <c r="U252" s="26"/>
    </row>
    <row r="253" spans="2:21" ht="15">
      <c r="B253" s="26"/>
      <c r="C253" s="26"/>
      <c r="D253" s="26"/>
      <c r="E253" s="26"/>
      <c r="F253" s="26"/>
      <c r="G253" s="26"/>
      <c r="H253" s="26"/>
      <c r="I253" s="26"/>
      <c r="J253" s="521">
        <f>(1-(((COSH(3.67*(Q35/Q34)))-1)/(((3.67*(Q35/Q34)))*(SINH((3.67*(Q35/Q34)))))))*Q35</f>
        <v>5.8030261710902051</v>
      </c>
      <c r="K253" s="521"/>
      <c r="L253" s="521"/>
      <c r="M253" s="521"/>
      <c r="N253" s="521"/>
      <c r="O253" s="521"/>
      <c r="P253" s="521"/>
      <c r="Q253" s="521"/>
      <c r="R253" s="378" t="s">
        <v>258</v>
      </c>
      <c r="S253" s="378"/>
      <c r="T253" s="378"/>
      <c r="U253" s="26"/>
    </row>
    <row r="254" spans="2:21" ht="15">
      <c r="B254" s="26"/>
      <c r="C254" s="26"/>
      <c r="D254" s="26"/>
      <c r="E254" s="26"/>
      <c r="F254" s="26"/>
      <c r="G254" s="26"/>
      <c r="H254" s="26"/>
      <c r="I254" s="26"/>
      <c r="J254" s="521"/>
      <c r="K254" s="521"/>
      <c r="L254" s="521"/>
      <c r="M254" s="521"/>
      <c r="N254" s="521"/>
      <c r="O254" s="521"/>
      <c r="P254" s="521"/>
      <c r="Q254" s="521"/>
      <c r="R254" s="378"/>
      <c r="S254" s="378"/>
      <c r="T254" s="378"/>
      <c r="U254" s="26"/>
    </row>
    <row r="255" spans="2:21" ht="15">
      <c r="B255" s="26"/>
      <c r="C255" s="26"/>
      <c r="D255" s="26"/>
      <c r="E255" s="26"/>
      <c r="F255" s="26"/>
      <c r="G255" s="26"/>
      <c r="H255" s="26"/>
      <c r="I255" s="26"/>
      <c r="J255" s="521"/>
      <c r="K255" s="521"/>
      <c r="L255" s="521"/>
      <c r="M255" s="521"/>
      <c r="N255" s="521"/>
      <c r="O255" s="521"/>
      <c r="P255" s="521"/>
      <c r="Q255" s="521"/>
      <c r="R255" s="378"/>
      <c r="S255" s="378"/>
      <c r="T255" s="378"/>
      <c r="U255" s="26"/>
    </row>
    <row r="256" spans="2:21" ht="15">
      <c r="B256" s="30"/>
      <c r="C256" s="30"/>
      <c r="D256" s="30"/>
      <c r="E256" s="30"/>
      <c r="F256" s="30"/>
      <c r="G256" s="30"/>
      <c r="H256" s="30"/>
      <c r="I256" s="30"/>
      <c r="J256" s="521"/>
      <c r="K256" s="521"/>
      <c r="L256" s="521"/>
      <c r="M256" s="521"/>
      <c r="N256" s="521"/>
      <c r="O256" s="521"/>
      <c r="P256" s="521"/>
      <c r="Q256" s="521"/>
      <c r="R256" s="378"/>
      <c r="S256" s="378"/>
      <c r="T256" s="378"/>
      <c r="U256" s="30"/>
    </row>
    <row r="257" spans="1:22" ht="15">
      <c r="B257" s="30"/>
      <c r="C257" s="30"/>
      <c r="D257" s="30"/>
      <c r="E257" s="30"/>
      <c r="F257" s="30"/>
      <c r="G257" s="30"/>
      <c r="H257" s="30"/>
      <c r="I257" s="30"/>
      <c r="J257" s="521"/>
      <c r="K257" s="521"/>
      <c r="L257" s="521"/>
      <c r="M257" s="521"/>
      <c r="N257" s="521"/>
      <c r="O257" s="521"/>
      <c r="P257" s="521"/>
      <c r="Q257" s="521"/>
      <c r="R257" s="378"/>
      <c r="S257" s="378"/>
      <c r="T257" s="378"/>
      <c r="U257" s="30"/>
    </row>
    <row r="258" spans="1:22" ht="15" thickBot="1">
      <c r="J258" s="3"/>
      <c r="K258" s="3"/>
      <c r="L258" s="21"/>
      <c r="M258" s="21"/>
      <c r="N258" s="21"/>
      <c r="O258" s="21"/>
      <c r="P258" s="21"/>
      <c r="Q258" s="21"/>
      <c r="R258" s="21"/>
      <c r="S258" s="21"/>
      <c r="T258" s="21"/>
    </row>
    <row r="259" spans="1:22" ht="15" customHeight="1">
      <c r="A259" s="229"/>
      <c r="B259" s="230"/>
      <c r="C259" s="230"/>
      <c r="D259" s="230"/>
      <c r="E259" s="231"/>
      <c r="F259" s="158" t="str">
        <f>F204</f>
        <v>نگهداشت و افزایش تولید میدان نفتی بینک
سطح الارض و ابنیه تحت الارض 
خرید مخازن ذخیره گاز ایستگاه تقویت فشار گاز بینک 
(قرارداد BK-HD-GCS-CO-0026_00 )</v>
      </c>
      <c r="G259" s="159"/>
      <c r="H259" s="159"/>
      <c r="I259" s="159"/>
      <c r="J259" s="159"/>
      <c r="K259" s="159"/>
      <c r="L259" s="159"/>
      <c r="M259" s="159"/>
      <c r="N259" s="159"/>
      <c r="O259" s="159"/>
      <c r="P259" s="159"/>
      <c r="Q259" s="160"/>
      <c r="R259" s="238"/>
      <c r="S259" s="238"/>
      <c r="T259" s="238"/>
      <c r="U259" s="238"/>
      <c r="V259" s="239"/>
    </row>
    <row r="260" spans="1:22">
      <c r="A260" s="232"/>
      <c r="B260" s="233"/>
      <c r="C260" s="233"/>
      <c r="D260" s="233"/>
      <c r="E260" s="234"/>
      <c r="F260" s="161"/>
      <c r="G260" s="162"/>
      <c r="H260" s="162"/>
      <c r="I260" s="162"/>
      <c r="J260" s="162"/>
      <c r="K260" s="162"/>
      <c r="L260" s="162"/>
      <c r="M260" s="162"/>
      <c r="N260" s="162"/>
      <c r="O260" s="162"/>
      <c r="P260" s="162"/>
      <c r="Q260" s="163"/>
      <c r="R260" s="177"/>
      <c r="S260" s="177"/>
      <c r="T260" s="177"/>
      <c r="U260" s="177"/>
      <c r="V260" s="240"/>
    </row>
    <row r="261" spans="1:22">
      <c r="A261" s="232"/>
      <c r="B261" s="233"/>
      <c r="C261" s="233"/>
      <c r="D261" s="233"/>
      <c r="E261" s="234"/>
      <c r="F261" s="161"/>
      <c r="G261" s="162"/>
      <c r="H261" s="162"/>
      <c r="I261" s="162"/>
      <c r="J261" s="162"/>
      <c r="K261" s="162"/>
      <c r="L261" s="162"/>
      <c r="M261" s="162"/>
      <c r="N261" s="162"/>
      <c r="O261" s="162"/>
      <c r="P261" s="162"/>
      <c r="Q261" s="163"/>
      <c r="R261" s="177"/>
      <c r="S261" s="177"/>
      <c r="T261" s="177"/>
      <c r="U261" s="177"/>
      <c r="V261" s="240"/>
    </row>
    <row r="262" spans="1:22">
      <c r="A262" s="232"/>
      <c r="B262" s="233"/>
      <c r="C262" s="233"/>
      <c r="D262" s="233"/>
      <c r="E262" s="234"/>
      <c r="F262" s="161"/>
      <c r="G262" s="162"/>
      <c r="H262" s="162"/>
      <c r="I262" s="162"/>
      <c r="J262" s="162"/>
      <c r="K262" s="162"/>
      <c r="L262" s="162"/>
      <c r="M262" s="162"/>
      <c r="N262" s="162"/>
      <c r="O262" s="162"/>
      <c r="P262" s="162"/>
      <c r="Q262" s="163"/>
      <c r="R262" s="177"/>
      <c r="S262" s="177"/>
      <c r="T262" s="177"/>
      <c r="U262" s="177"/>
      <c r="V262" s="240"/>
    </row>
    <row r="263" spans="1:22">
      <c r="A263" s="232"/>
      <c r="B263" s="233"/>
      <c r="C263" s="233"/>
      <c r="D263" s="233"/>
      <c r="E263" s="234"/>
      <c r="F263" s="164"/>
      <c r="G263" s="165"/>
      <c r="H263" s="165"/>
      <c r="I263" s="165"/>
      <c r="J263" s="165"/>
      <c r="K263" s="165"/>
      <c r="L263" s="165"/>
      <c r="M263" s="165"/>
      <c r="N263" s="165"/>
      <c r="O263" s="165"/>
      <c r="P263" s="165"/>
      <c r="Q263" s="166"/>
      <c r="R263" s="177"/>
      <c r="S263" s="177"/>
      <c r="T263" s="177"/>
      <c r="U263" s="177"/>
      <c r="V263" s="240"/>
    </row>
    <row r="264" spans="1:22" ht="24.6" customHeight="1">
      <c r="A264" s="235"/>
      <c r="B264" s="236"/>
      <c r="C264" s="236"/>
      <c r="D264" s="236"/>
      <c r="E264" s="237"/>
      <c r="F264" s="265" t="str">
        <f>F209</f>
        <v>Mechanical Calculation Book For Fire Water Tanks (TK-2301A/B)</v>
      </c>
      <c r="G264" s="266"/>
      <c r="H264" s="266"/>
      <c r="I264" s="266"/>
      <c r="J264" s="266"/>
      <c r="K264" s="266"/>
      <c r="L264" s="266"/>
      <c r="M264" s="266"/>
      <c r="N264" s="266"/>
      <c r="O264" s="266"/>
      <c r="P264" s="266"/>
      <c r="Q264" s="267"/>
      <c r="R264" s="177"/>
      <c r="S264" s="177"/>
      <c r="T264" s="177"/>
      <c r="U264" s="177"/>
      <c r="V264" s="240"/>
    </row>
    <row r="265" spans="1:22" ht="21.6" customHeight="1">
      <c r="A265" s="167" t="s">
        <v>743</v>
      </c>
      <c r="B265" s="168"/>
      <c r="C265" s="168"/>
      <c r="D265" s="168"/>
      <c r="E265" s="169"/>
      <c r="F265" s="125" t="s">
        <v>744</v>
      </c>
      <c r="G265" s="170" t="s">
        <v>745</v>
      </c>
      <c r="H265" s="171"/>
      <c r="I265" s="170" t="s">
        <v>746</v>
      </c>
      <c r="J265" s="171"/>
      <c r="K265" s="170" t="s">
        <v>747</v>
      </c>
      <c r="L265" s="171"/>
      <c r="M265" s="125" t="s">
        <v>748</v>
      </c>
      <c r="N265" s="170" t="s">
        <v>749</v>
      </c>
      <c r="O265" s="171"/>
      <c r="P265" s="125" t="s">
        <v>750</v>
      </c>
      <c r="Q265" s="126" t="s">
        <v>751</v>
      </c>
      <c r="R265" s="172">
        <f>R210</f>
        <v>29</v>
      </c>
      <c r="S265" s="174" t="s">
        <v>752</v>
      </c>
      <c r="T265" s="263">
        <f>T210+1</f>
        <v>21</v>
      </c>
      <c r="U265" s="168" t="s">
        <v>753</v>
      </c>
      <c r="V265" s="188"/>
    </row>
    <row r="266" spans="1:22" ht="20.45" customHeight="1" thickBot="1">
      <c r="A266" s="191" t="s">
        <v>754</v>
      </c>
      <c r="B266" s="175"/>
      <c r="C266" s="175"/>
      <c r="D266" s="175"/>
      <c r="E266" s="192"/>
      <c r="F266" s="132" t="s">
        <v>755</v>
      </c>
      <c r="G266" s="193" t="s">
        <v>756</v>
      </c>
      <c r="H266" s="193"/>
      <c r="I266" s="193" t="s">
        <v>878</v>
      </c>
      <c r="J266" s="193"/>
      <c r="K266" s="193">
        <v>120</v>
      </c>
      <c r="L266" s="193"/>
      <c r="M266" s="132" t="s">
        <v>757</v>
      </c>
      <c r="N266" s="193" t="s">
        <v>879</v>
      </c>
      <c r="O266" s="193"/>
      <c r="P266" s="142" t="s">
        <v>881</v>
      </c>
      <c r="Q266" s="133" t="str">
        <f>Q211</f>
        <v>V01</v>
      </c>
      <c r="R266" s="173"/>
      <c r="S266" s="175"/>
      <c r="T266" s="264"/>
      <c r="U266" s="189"/>
      <c r="V266" s="190"/>
    </row>
    <row r="267" spans="1:22" ht="15" customHeight="1">
      <c r="A267" s="30"/>
      <c r="B267" s="296" t="s">
        <v>375</v>
      </c>
      <c r="C267" s="296"/>
      <c r="D267" s="296"/>
      <c r="E267" s="296"/>
      <c r="F267" s="296"/>
      <c r="G267" s="296"/>
      <c r="H267" s="296"/>
      <c r="I267" s="296"/>
      <c r="J267" s="296"/>
      <c r="K267" s="296"/>
      <c r="L267" s="296"/>
      <c r="M267" s="296"/>
      <c r="N267" s="296"/>
      <c r="O267" s="296"/>
      <c r="P267" s="296"/>
      <c r="Q267" s="296"/>
      <c r="R267" s="296"/>
      <c r="S267" s="296"/>
      <c r="T267" s="30"/>
      <c r="U267" s="30"/>
    </row>
    <row r="268" spans="1:22" ht="15" customHeight="1">
      <c r="A268" s="30"/>
      <c r="B268" s="296"/>
      <c r="C268" s="296"/>
      <c r="D268" s="296"/>
      <c r="E268" s="296"/>
      <c r="F268" s="296"/>
      <c r="G268" s="296"/>
      <c r="H268" s="296"/>
      <c r="I268" s="296"/>
      <c r="J268" s="296"/>
      <c r="K268" s="296"/>
      <c r="L268" s="296"/>
      <c r="M268" s="296"/>
      <c r="N268" s="296"/>
      <c r="O268" s="296"/>
      <c r="P268" s="296"/>
      <c r="Q268" s="296"/>
      <c r="R268" s="296"/>
      <c r="S268" s="296"/>
      <c r="T268" s="30"/>
      <c r="U268" s="30"/>
    </row>
    <row r="269" spans="1:22" ht="15">
      <c r="A269" s="30"/>
      <c r="B269" s="379" t="s">
        <v>376</v>
      </c>
      <c r="C269" s="379"/>
      <c r="D269" s="379"/>
      <c r="E269" s="379"/>
      <c r="F269" s="379"/>
      <c r="G269" s="379"/>
      <c r="H269" s="379"/>
      <c r="I269" s="379"/>
      <c r="J269" s="379"/>
      <c r="K269" s="379"/>
      <c r="L269" s="525">
        <f>((P271^2)+(P273^2))^0.5</f>
        <v>1963990.0756882404</v>
      </c>
      <c r="M269" s="525"/>
      <c r="N269" s="525"/>
      <c r="O269" s="525"/>
      <c r="P269" s="525"/>
      <c r="Q269" s="378" t="s">
        <v>214</v>
      </c>
      <c r="R269" s="378"/>
      <c r="S269" s="30"/>
      <c r="T269" s="30"/>
      <c r="U269" s="30"/>
    </row>
    <row r="270" spans="1:22" ht="15">
      <c r="A270" s="30"/>
      <c r="B270" s="379"/>
      <c r="C270" s="379"/>
      <c r="D270" s="379"/>
      <c r="E270" s="379"/>
      <c r="F270" s="379"/>
      <c r="G270" s="379"/>
      <c r="H270" s="379"/>
      <c r="I270" s="379"/>
      <c r="J270" s="379"/>
      <c r="K270" s="379"/>
      <c r="L270" s="525"/>
      <c r="M270" s="525"/>
      <c r="N270" s="525"/>
      <c r="O270" s="525"/>
      <c r="P270" s="525"/>
      <c r="Q270" s="378"/>
      <c r="R270" s="378"/>
      <c r="S270" s="30"/>
      <c r="T270" s="30"/>
      <c r="U270" s="30"/>
    </row>
    <row r="271" spans="1:22" ht="15">
      <c r="A271" s="30"/>
      <c r="B271" s="379" t="s">
        <v>377</v>
      </c>
      <c r="C271" s="379"/>
      <c r="D271" s="379"/>
      <c r="E271" s="379"/>
      <c r="F271" s="379"/>
      <c r="G271" s="379"/>
      <c r="H271" s="379"/>
      <c r="I271" s="379"/>
      <c r="J271" s="379"/>
      <c r="K271" s="379"/>
      <c r="L271" s="379"/>
      <c r="M271" s="379"/>
      <c r="N271" s="379"/>
      <c r="O271" s="379"/>
      <c r="P271" s="378">
        <f>F88*(R161+R163+R165+C181)</f>
        <v>1924163.7504028385</v>
      </c>
      <c r="Q271" s="378"/>
      <c r="R271" s="378"/>
      <c r="S271" s="378"/>
      <c r="T271" s="378" t="s">
        <v>214</v>
      </c>
      <c r="U271" s="30"/>
    </row>
    <row r="272" spans="1:22" ht="15">
      <c r="A272" s="30"/>
      <c r="B272" s="379"/>
      <c r="C272" s="379"/>
      <c r="D272" s="379"/>
      <c r="E272" s="379"/>
      <c r="F272" s="379"/>
      <c r="G272" s="379"/>
      <c r="H272" s="379"/>
      <c r="I272" s="379"/>
      <c r="J272" s="379"/>
      <c r="K272" s="379"/>
      <c r="L272" s="379"/>
      <c r="M272" s="379"/>
      <c r="N272" s="379"/>
      <c r="O272" s="379"/>
      <c r="P272" s="378"/>
      <c r="Q272" s="378"/>
      <c r="R272" s="378"/>
      <c r="S272" s="378"/>
      <c r="T272" s="378"/>
      <c r="U272" s="30"/>
    </row>
    <row r="273" spans="1:21" ht="15">
      <c r="A273" s="30"/>
      <c r="B273" s="379" t="s">
        <v>378</v>
      </c>
      <c r="C273" s="379"/>
      <c r="D273" s="379"/>
      <c r="E273" s="379"/>
      <c r="F273" s="379"/>
      <c r="G273" s="379"/>
      <c r="H273" s="379"/>
      <c r="I273" s="379"/>
      <c r="J273" s="379"/>
      <c r="K273" s="379"/>
      <c r="L273" s="379"/>
      <c r="M273" s="379"/>
      <c r="N273" s="379"/>
      <c r="O273" s="379"/>
      <c r="P273" s="378">
        <f>R187*F89</f>
        <v>393510.96431685804</v>
      </c>
      <c r="Q273" s="378"/>
      <c r="R273" s="378"/>
      <c r="S273" s="378"/>
      <c r="T273" s="378" t="s">
        <v>214</v>
      </c>
      <c r="U273" s="30"/>
    </row>
    <row r="274" spans="1:21" ht="15" customHeight="1">
      <c r="A274" s="30"/>
      <c r="B274" s="379"/>
      <c r="C274" s="379"/>
      <c r="D274" s="379"/>
      <c r="E274" s="379"/>
      <c r="F274" s="379"/>
      <c r="G274" s="379"/>
      <c r="H274" s="379"/>
      <c r="I274" s="379"/>
      <c r="J274" s="379"/>
      <c r="K274" s="379"/>
      <c r="L274" s="379"/>
      <c r="M274" s="379"/>
      <c r="N274" s="379"/>
      <c r="O274" s="379"/>
      <c r="P274" s="378"/>
      <c r="Q274" s="378"/>
      <c r="R274" s="378"/>
      <c r="S274" s="378"/>
      <c r="T274" s="378"/>
      <c r="U274" s="30"/>
    </row>
    <row r="275" spans="1:21" ht="15" customHeight="1">
      <c r="A275" s="296" t="s">
        <v>259</v>
      </c>
      <c r="B275" s="296"/>
      <c r="C275" s="296"/>
      <c r="D275" s="296"/>
      <c r="E275" s="296"/>
      <c r="F275" s="296"/>
      <c r="G275" s="296"/>
      <c r="H275" s="296"/>
      <c r="I275" s="296"/>
      <c r="J275" s="296"/>
      <c r="K275" s="296"/>
      <c r="L275" s="296"/>
      <c r="M275" s="30"/>
      <c r="N275" s="30"/>
      <c r="O275" s="30"/>
      <c r="P275" s="30"/>
      <c r="Q275" s="30"/>
      <c r="R275" s="30"/>
      <c r="S275" s="30"/>
      <c r="T275" s="30"/>
      <c r="U275" s="30"/>
    </row>
    <row r="276" spans="1:21" ht="15">
      <c r="A276" s="296"/>
      <c r="B276" s="296"/>
      <c r="C276" s="296"/>
      <c r="D276" s="296"/>
      <c r="E276" s="296"/>
      <c r="F276" s="296"/>
      <c r="G276" s="296"/>
      <c r="H276" s="296"/>
      <c r="I276" s="296"/>
      <c r="J276" s="296"/>
      <c r="K276" s="296"/>
      <c r="L276" s="296"/>
      <c r="M276" s="30"/>
      <c r="N276" s="30"/>
      <c r="O276" s="30"/>
      <c r="P276" s="30"/>
      <c r="Q276" s="30"/>
      <c r="R276" s="30"/>
      <c r="S276" s="30"/>
      <c r="T276" s="30"/>
      <c r="U276" s="30"/>
    </row>
    <row r="277" spans="1:21" ht="15">
      <c r="A277" s="379" t="s">
        <v>104</v>
      </c>
      <c r="B277" s="379"/>
      <c r="C277" s="379"/>
      <c r="D277" s="379"/>
      <c r="E277" s="379"/>
      <c r="F277" s="379"/>
      <c r="G277" s="379"/>
      <c r="H277" s="30"/>
      <c r="I277" s="30"/>
      <c r="J277" s="30"/>
      <c r="K277" s="30"/>
      <c r="L277" s="30"/>
      <c r="M277" s="30"/>
      <c r="N277" s="30"/>
      <c r="O277" s="30"/>
      <c r="P277" s="30"/>
      <c r="Q277" s="30"/>
      <c r="R277" s="30"/>
      <c r="S277" s="30"/>
      <c r="T277" s="30"/>
      <c r="U277" s="30"/>
    </row>
    <row r="278" spans="1:21" ht="15">
      <c r="A278" s="379"/>
      <c r="B278" s="379"/>
      <c r="C278" s="379"/>
      <c r="D278" s="379"/>
      <c r="E278" s="379"/>
      <c r="F278" s="379"/>
      <c r="G278" s="379"/>
      <c r="H278" s="30"/>
      <c r="I278" s="30"/>
      <c r="J278" s="30"/>
      <c r="K278" s="30"/>
      <c r="L278" s="30"/>
      <c r="M278" s="30"/>
      <c r="N278" s="30"/>
      <c r="O278" s="30"/>
      <c r="P278" s="30"/>
      <c r="Q278" s="30"/>
      <c r="R278" s="30"/>
      <c r="S278" s="30"/>
      <c r="T278" s="30"/>
      <c r="U278" s="30"/>
    </row>
    <row r="279" spans="1:21" ht="15">
      <c r="A279" s="30"/>
      <c r="B279" s="30"/>
      <c r="C279" s="30"/>
      <c r="D279" s="30"/>
      <c r="E279" s="30"/>
      <c r="F279" s="30"/>
      <c r="G279" s="30"/>
      <c r="H279" s="30"/>
      <c r="I279" s="30"/>
      <c r="J279" s="30"/>
      <c r="K279" s="30"/>
      <c r="L279" s="30"/>
      <c r="M279" s="30"/>
      <c r="N279" s="30"/>
      <c r="O279" s="30"/>
      <c r="P279" s="30"/>
      <c r="Q279" s="30"/>
      <c r="R279" s="30"/>
      <c r="S279" s="30"/>
      <c r="T279" s="30"/>
      <c r="U279" s="30"/>
    </row>
    <row r="280" spans="1:21" ht="15">
      <c r="A280" s="30"/>
      <c r="B280" s="378" t="s">
        <v>483</v>
      </c>
      <c r="C280" s="378"/>
      <c r="D280" s="522">
        <f>((F88*((C181*C248)+(R161*R193)+(R163*R191)))^2+(F89*R187*J253)^2)^0.5</f>
        <v>6929589.8409908693</v>
      </c>
      <c r="E280" s="522"/>
      <c r="F280" s="522"/>
      <c r="G280" s="522"/>
      <c r="H280" s="522"/>
      <c r="I280" s="522"/>
      <c r="J280" s="522"/>
      <c r="K280" s="522"/>
      <c r="L280" s="522"/>
      <c r="M280" s="522"/>
      <c r="N280" s="522"/>
      <c r="O280" s="522"/>
      <c r="P280" s="522"/>
      <c r="Q280" s="522"/>
      <c r="R280" s="378" t="s">
        <v>231</v>
      </c>
      <c r="S280" s="378"/>
      <c r="T280" s="378"/>
      <c r="U280" s="30"/>
    </row>
    <row r="281" spans="1:21" ht="15">
      <c r="A281" s="30"/>
      <c r="B281" s="378"/>
      <c r="C281" s="378"/>
      <c r="D281" s="522"/>
      <c r="E281" s="522"/>
      <c r="F281" s="522"/>
      <c r="G281" s="522"/>
      <c r="H281" s="522"/>
      <c r="I281" s="522"/>
      <c r="J281" s="522"/>
      <c r="K281" s="522"/>
      <c r="L281" s="522"/>
      <c r="M281" s="522"/>
      <c r="N281" s="522"/>
      <c r="O281" s="522"/>
      <c r="P281" s="522"/>
      <c r="Q281" s="522"/>
      <c r="R281" s="378"/>
      <c r="S281" s="378"/>
      <c r="T281" s="378"/>
      <c r="U281" s="30"/>
    </row>
    <row r="282" spans="1:21" ht="18.75">
      <c r="A282" s="270" t="s">
        <v>105</v>
      </c>
      <c r="B282" s="270"/>
      <c r="C282" s="270"/>
      <c r="D282" s="270"/>
      <c r="E282" s="270"/>
      <c r="F282" s="270"/>
      <c r="G282" s="270"/>
      <c r="H282" s="35"/>
      <c r="I282" s="35"/>
      <c r="J282" s="35"/>
      <c r="K282" s="35"/>
      <c r="L282" s="30"/>
      <c r="M282" s="30"/>
      <c r="N282" s="30"/>
      <c r="O282" s="30"/>
      <c r="P282" s="30"/>
      <c r="Q282" s="30"/>
      <c r="R282" s="30"/>
      <c r="S282" s="30"/>
      <c r="T282" s="30"/>
      <c r="U282" s="30"/>
    </row>
    <row r="283" spans="1:21" ht="18.75">
      <c r="A283" s="270"/>
      <c r="B283" s="270"/>
      <c r="C283" s="270"/>
      <c r="D283" s="270"/>
      <c r="E283" s="270"/>
      <c r="F283" s="270"/>
      <c r="G283" s="270"/>
      <c r="H283" s="35"/>
      <c r="I283" s="35"/>
      <c r="J283" s="35"/>
      <c r="K283" s="35"/>
      <c r="L283" s="30"/>
      <c r="M283" s="30"/>
      <c r="N283" s="30"/>
      <c r="O283" s="30"/>
      <c r="P283" s="30"/>
      <c r="Q283" s="30"/>
      <c r="R283" s="30"/>
      <c r="S283" s="30"/>
      <c r="T283" s="30"/>
      <c r="U283" s="30"/>
    </row>
    <row r="284" spans="1:21" ht="15">
      <c r="A284" s="30"/>
      <c r="B284" s="30"/>
      <c r="C284" s="30"/>
      <c r="D284" s="30"/>
      <c r="E284" s="30"/>
      <c r="F284" s="30"/>
      <c r="G284" s="30"/>
      <c r="H284" s="30"/>
      <c r="I284" s="30"/>
      <c r="J284" s="30"/>
      <c r="K284" s="30"/>
      <c r="L284" s="30"/>
      <c r="M284" s="30"/>
      <c r="N284" s="30"/>
      <c r="O284" s="30"/>
      <c r="P284" s="30"/>
      <c r="Q284" s="30"/>
      <c r="R284" s="30"/>
      <c r="S284" s="30"/>
      <c r="T284" s="30"/>
      <c r="U284" s="30"/>
    </row>
    <row r="285" spans="1:21" ht="15">
      <c r="A285" s="30"/>
      <c r="B285" s="30"/>
      <c r="C285" s="30"/>
      <c r="D285" s="30"/>
      <c r="E285" s="30"/>
      <c r="F285" s="30"/>
      <c r="G285" s="30"/>
      <c r="H285" s="30"/>
      <c r="I285" s="30"/>
      <c r="J285" s="30"/>
      <c r="K285" s="30"/>
      <c r="L285" s="30"/>
      <c r="M285" s="30"/>
      <c r="N285" s="30"/>
      <c r="O285" s="30"/>
      <c r="P285" s="30"/>
      <c r="Q285" s="30"/>
      <c r="R285" s="30"/>
      <c r="S285" s="30"/>
      <c r="T285" s="30"/>
      <c r="U285" s="30"/>
    </row>
    <row r="286" spans="1:21" ht="15">
      <c r="A286" s="30"/>
      <c r="B286" s="30"/>
      <c r="C286" s="30"/>
      <c r="D286" s="30"/>
      <c r="E286" s="30"/>
      <c r="F286" s="30"/>
      <c r="G286" s="30"/>
      <c r="H286" s="30"/>
      <c r="I286" s="30"/>
      <c r="J286" s="30"/>
      <c r="K286" s="30"/>
      <c r="L286" s="30"/>
      <c r="M286" s="30"/>
      <c r="N286" s="30"/>
      <c r="O286" s="30"/>
      <c r="P286" s="30"/>
      <c r="Q286" s="30"/>
      <c r="R286" s="30"/>
      <c r="S286" s="30"/>
      <c r="T286" s="30"/>
      <c r="U286" s="30"/>
    </row>
    <row r="287" spans="1:21" ht="15">
      <c r="A287" s="30"/>
      <c r="B287" s="378" t="s">
        <v>484</v>
      </c>
      <c r="C287" s="378"/>
      <c r="D287" s="522">
        <f>((F88*((C181*C230)+(R161*R193)+(R163*R191)))^2+(F89*R187*K236)^2)^0.5</f>
        <v>10790497.127135558</v>
      </c>
      <c r="E287" s="522"/>
      <c r="F287" s="522"/>
      <c r="G287" s="522"/>
      <c r="H287" s="522"/>
      <c r="I287" s="522"/>
      <c r="J287" s="522"/>
      <c r="K287" s="522"/>
      <c r="L287" s="522"/>
      <c r="M287" s="522"/>
      <c r="N287" s="522"/>
      <c r="O287" s="522"/>
      <c r="P287" s="522"/>
      <c r="Q287" s="522"/>
      <c r="R287" s="378" t="s">
        <v>231</v>
      </c>
      <c r="S287" s="378"/>
      <c r="T287" s="378"/>
      <c r="U287" s="30"/>
    </row>
    <row r="288" spans="1:21" ht="15">
      <c r="A288" s="30"/>
      <c r="B288" s="378"/>
      <c r="C288" s="378"/>
      <c r="D288" s="522"/>
      <c r="E288" s="522"/>
      <c r="F288" s="522"/>
      <c r="G288" s="522"/>
      <c r="H288" s="522"/>
      <c r="I288" s="522"/>
      <c r="J288" s="522"/>
      <c r="K288" s="522"/>
      <c r="L288" s="522"/>
      <c r="M288" s="522"/>
      <c r="N288" s="522"/>
      <c r="O288" s="522"/>
      <c r="P288" s="522"/>
      <c r="Q288" s="522"/>
      <c r="R288" s="378"/>
      <c r="S288" s="378"/>
      <c r="T288" s="378"/>
      <c r="U288" s="30"/>
    </row>
    <row r="289" spans="1:21" ht="15">
      <c r="A289" s="30"/>
      <c r="B289" s="30"/>
      <c r="C289" s="30"/>
      <c r="D289" s="30"/>
      <c r="E289" s="30"/>
      <c r="F289" s="30"/>
      <c r="G289" s="30"/>
      <c r="H289" s="30"/>
      <c r="I289" s="30"/>
      <c r="J289" s="30"/>
      <c r="K289" s="30"/>
      <c r="L289" s="30"/>
      <c r="M289" s="30"/>
      <c r="N289" s="30"/>
      <c r="O289" s="30"/>
      <c r="P289" s="30"/>
      <c r="Q289" s="30"/>
      <c r="R289" s="30"/>
      <c r="S289" s="30"/>
      <c r="T289" s="30"/>
      <c r="U289" s="30"/>
    </row>
    <row r="290" spans="1:21" ht="15">
      <c r="A290" s="30"/>
      <c r="B290" s="30"/>
      <c r="C290" s="30"/>
      <c r="D290" s="30"/>
      <c r="E290" s="30"/>
      <c r="F290" s="30"/>
      <c r="G290" s="30"/>
      <c r="H290" s="30"/>
      <c r="I290" s="30"/>
      <c r="J290" s="30"/>
      <c r="K290" s="30"/>
      <c r="L290" s="30"/>
      <c r="M290" s="30"/>
      <c r="N290" s="30"/>
      <c r="O290" s="30"/>
      <c r="P290" s="30"/>
      <c r="Q290" s="30"/>
      <c r="R290" s="30"/>
      <c r="S290" s="30"/>
      <c r="T290" s="30"/>
      <c r="U290" s="30"/>
    </row>
    <row r="291" spans="1:21" ht="15">
      <c r="A291" s="30"/>
      <c r="B291" s="30"/>
      <c r="C291" s="30"/>
      <c r="D291" s="30"/>
      <c r="E291" s="30"/>
      <c r="F291" s="30"/>
      <c r="G291" s="30"/>
      <c r="H291" s="30"/>
      <c r="I291" s="30"/>
      <c r="J291" s="30"/>
      <c r="K291" s="30"/>
      <c r="L291" s="30"/>
      <c r="M291" s="30"/>
      <c r="N291" s="30"/>
      <c r="O291" s="30"/>
      <c r="P291" s="30"/>
      <c r="Q291" s="30"/>
      <c r="R291" s="30"/>
      <c r="S291" s="30"/>
      <c r="T291" s="30"/>
      <c r="U291" s="30"/>
    </row>
    <row r="305" spans="1:22" ht="15" thickBot="1"/>
    <row r="306" spans="1:22" ht="15" customHeight="1">
      <c r="A306" s="229"/>
      <c r="B306" s="230"/>
      <c r="C306" s="230"/>
      <c r="D306" s="230"/>
      <c r="E306" s="231"/>
      <c r="F306" s="158" t="str">
        <f>F259</f>
        <v>نگهداشت و افزایش تولید میدان نفتی بینک
سطح الارض و ابنیه تحت الارض 
خرید مخازن ذخیره گاز ایستگاه تقویت فشار گاز بینک 
(قرارداد BK-HD-GCS-CO-0026_00 )</v>
      </c>
      <c r="G306" s="159"/>
      <c r="H306" s="159"/>
      <c r="I306" s="159"/>
      <c r="J306" s="159"/>
      <c r="K306" s="159"/>
      <c r="L306" s="159"/>
      <c r="M306" s="159"/>
      <c r="N306" s="159"/>
      <c r="O306" s="159"/>
      <c r="P306" s="159"/>
      <c r="Q306" s="160"/>
      <c r="R306" s="238"/>
      <c r="S306" s="238"/>
      <c r="T306" s="238"/>
      <c r="U306" s="238"/>
      <c r="V306" s="239"/>
    </row>
    <row r="307" spans="1:22">
      <c r="A307" s="232"/>
      <c r="B307" s="233"/>
      <c r="C307" s="233"/>
      <c r="D307" s="233"/>
      <c r="E307" s="234"/>
      <c r="F307" s="161"/>
      <c r="G307" s="162"/>
      <c r="H307" s="162"/>
      <c r="I307" s="162"/>
      <c r="J307" s="162"/>
      <c r="K307" s="162"/>
      <c r="L307" s="162"/>
      <c r="M307" s="162"/>
      <c r="N307" s="162"/>
      <c r="O307" s="162"/>
      <c r="P307" s="162"/>
      <c r="Q307" s="163"/>
      <c r="R307" s="177"/>
      <c r="S307" s="177"/>
      <c r="T307" s="177"/>
      <c r="U307" s="177"/>
      <c r="V307" s="240"/>
    </row>
    <row r="308" spans="1:22">
      <c r="A308" s="232"/>
      <c r="B308" s="233"/>
      <c r="C308" s="233"/>
      <c r="D308" s="233"/>
      <c r="E308" s="234"/>
      <c r="F308" s="161"/>
      <c r="G308" s="162"/>
      <c r="H308" s="162"/>
      <c r="I308" s="162"/>
      <c r="J308" s="162"/>
      <c r="K308" s="162"/>
      <c r="L308" s="162"/>
      <c r="M308" s="162"/>
      <c r="N308" s="162"/>
      <c r="O308" s="162"/>
      <c r="P308" s="162"/>
      <c r="Q308" s="163"/>
      <c r="R308" s="177"/>
      <c r="S308" s="177"/>
      <c r="T308" s="177"/>
      <c r="U308" s="177"/>
      <c r="V308" s="240"/>
    </row>
    <row r="309" spans="1:22">
      <c r="A309" s="232"/>
      <c r="B309" s="233"/>
      <c r="C309" s="233"/>
      <c r="D309" s="233"/>
      <c r="E309" s="234"/>
      <c r="F309" s="161"/>
      <c r="G309" s="162"/>
      <c r="H309" s="162"/>
      <c r="I309" s="162"/>
      <c r="J309" s="162"/>
      <c r="K309" s="162"/>
      <c r="L309" s="162"/>
      <c r="M309" s="162"/>
      <c r="N309" s="162"/>
      <c r="O309" s="162"/>
      <c r="P309" s="162"/>
      <c r="Q309" s="163"/>
      <c r="R309" s="177"/>
      <c r="S309" s="177"/>
      <c r="T309" s="177"/>
      <c r="U309" s="177"/>
      <c r="V309" s="240"/>
    </row>
    <row r="310" spans="1:22">
      <c r="A310" s="232"/>
      <c r="B310" s="233"/>
      <c r="C310" s="233"/>
      <c r="D310" s="233"/>
      <c r="E310" s="234"/>
      <c r="F310" s="164"/>
      <c r="G310" s="165"/>
      <c r="H310" s="165"/>
      <c r="I310" s="165"/>
      <c r="J310" s="165"/>
      <c r="K310" s="165"/>
      <c r="L310" s="165"/>
      <c r="M310" s="165"/>
      <c r="N310" s="165"/>
      <c r="O310" s="165"/>
      <c r="P310" s="165"/>
      <c r="Q310" s="166"/>
      <c r="R310" s="177"/>
      <c r="S310" s="177"/>
      <c r="T310" s="177"/>
      <c r="U310" s="177"/>
      <c r="V310" s="240"/>
    </row>
    <row r="311" spans="1:22" ht="15" customHeight="1">
      <c r="A311" s="235"/>
      <c r="B311" s="236"/>
      <c r="C311" s="236"/>
      <c r="D311" s="236"/>
      <c r="E311" s="237"/>
      <c r="F311" s="265" t="str">
        <f>F264</f>
        <v>Mechanical Calculation Book For Fire Water Tanks (TK-2301A/B)</v>
      </c>
      <c r="G311" s="266"/>
      <c r="H311" s="266"/>
      <c r="I311" s="266"/>
      <c r="J311" s="266"/>
      <c r="K311" s="266"/>
      <c r="L311" s="266"/>
      <c r="M311" s="266"/>
      <c r="N311" s="266"/>
      <c r="O311" s="266"/>
      <c r="P311" s="266"/>
      <c r="Q311" s="267"/>
      <c r="R311" s="177"/>
      <c r="S311" s="177"/>
      <c r="T311" s="177"/>
      <c r="U311" s="177"/>
      <c r="V311" s="240"/>
    </row>
    <row r="312" spans="1:22" ht="15">
      <c r="A312" s="167" t="s">
        <v>743</v>
      </c>
      <c r="B312" s="168"/>
      <c r="C312" s="168"/>
      <c r="D312" s="168"/>
      <c r="E312" s="169"/>
      <c r="F312" s="125" t="s">
        <v>744</v>
      </c>
      <c r="G312" s="170" t="s">
        <v>745</v>
      </c>
      <c r="H312" s="171"/>
      <c r="I312" s="170" t="s">
        <v>746</v>
      </c>
      <c r="J312" s="171"/>
      <c r="K312" s="170" t="s">
        <v>747</v>
      </c>
      <c r="L312" s="171"/>
      <c r="M312" s="125" t="s">
        <v>748</v>
      </c>
      <c r="N312" s="170" t="s">
        <v>749</v>
      </c>
      <c r="O312" s="171"/>
      <c r="P312" s="125" t="s">
        <v>750</v>
      </c>
      <c r="Q312" s="126" t="s">
        <v>751</v>
      </c>
      <c r="R312" s="172">
        <f>R265</f>
        <v>29</v>
      </c>
      <c r="S312" s="174" t="s">
        <v>752</v>
      </c>
      <c r="T312" s="263">
        <f>T265+1</f>
        <v>22</v>
      </c>
      <c r="U312" s="168" t="s">
        <v>753</v>
      </c>
      <c r="V312" s="188"/>
    </row>
    <row r="313" spans="1:22" ht="15.75" thickBot="1">
      <c r="A313" s="191" t="s">
        <v>754</v>
      </c>
      <c r="B313" s="175"/>
      <c r="C313" s="175"/>
      <c r="D313" s="175"/>
      <c r="E313" s="192"/>
      <c r="F313" s="132" t="s">
        <v>755</v>
      </c>
      <c r="G313" s="193" t="s">
        <v>756</v>
      </c>
      <c r="H313" s="193"/>
      <c r="I313" s="193" t="s">
        <v>878</v>
      </c>
      <c r="J313" s="193"/>
      <c r="K313" s="193">
        <v>120</v>
      </c>
      <c r="L313" s="193"/>
      <c r="M313" s="132" t="s">
        <v>757</v>
      </c>
      <c r="N313" s="193" t="s">
        <v>879</v>
      </c>
      <c r="O313" s="193"/>
      <c r="P313" s="142" t="s">
        <v>881</v>
      </c>
      <c r="Q313" s="133" t="str">
        <f>Q266</f>
        <v>V01</v>
      </c>
      <c r="R313" s="173"/>
      <c r="S313" s="175"/>
      <c r="T313" s="264"/>
      <c r="U313" s="189"/>
      <c r="V313" s="190"/>
    </row>
    <row r="314" spans="1:22" ht="15">
      <c r="A314" s="296" t="s">
        <v>382</v>
      </c>
      <c r="B314" s="296"/>
      <c r="C314" s="296"/>
      <c r="D314" s="296"/>
      <c r="E314" s="296"/>
      <c r="F314" s="296"/>
      <c r="G314" s="296"/>
      <c r="H314" s="296"/>
      <c r="I314" s="296"/>
      <c r="J314" s="296"/>
      <c r="K314" s="296"/>
      <c r="L314" s="296"/>
      <c r="M314" s="296"/>
      <c r="N314" s="296"/>
      <c r="O314" s="30"/>
      <c r="P314" s="30"/>
      <c r="Q314" s="30"/>
      <c r="R314" s="30"/>
      <c r="S314" s="30"/>
      <c r="T314" s="30"/>
    </row>
    <row r="315" spans="1:22" ht="15">
      <c r="A315" s="296"/>
      <c r="B315" s="296"/>
      <c r="C315" s="296"/>
      <c r="D315" s="296"/>
      <c r="E315" s="296"/>
      <c r="F315" s="296"/>
      <c r="G315" s="296"/>
      <c r="H315" s="296"/>
      <c r="I315" s="296"/>
      <c r="J315" s="296"/>
      <c r="K315" s="296"/>
      <c r="L315" s="296"/>
      <c r="M315" s="296"/>
      <c r="N315" s="296"/>
      <c r="O315" s="30"/>
      <c r="P315" s="30"/>
      <c r="Q315" s="30"/>
      <c r="R315" s="30"/>
      <c r="S315" s="30"/>
      <c r="T315" s="30"/>
    </row>
    <row r="316" spans="1:22">
      <c r="A316" s="272" t="s">
        <v>383</v>
      </c>
      <c r="B316" s="272"/>
      <c r="C316" s="272"/>
      <c r="D316" s="272"/>
      <c r="E316" s="272"/>
      <c r="F316" s="272"/>
      <c r="G316" s="272"/>
      <c r="H316" s="272"/>
      <c r="I316" s="272"/>
      <c r="J316" s="272"/>
      <c r="K316" s="272"/>
      <c r="L316" s="272"/>
      <c r="M316" s="272"/>
      <c r="N316" s="272"/>
      <c r="O316" s="272"/>
      <c r="P316" s="272"/>
      <c r="Q316" s="272"/>
      <c r="R316" s="272"/>
      <c r="S316" s="272"/>
      <c r="T316" s="272"/>
    </row>
    <row r="317" spans="1:22">
      <c r="A317" s="272"/>
      <c r="B317" s="272"/>
      <c r="C317" s="272"/>
      <c r="D317" s="272"/>
      <c r="E317" s="272"/>
      <c r="F317" s="272"/>
      <c r="G317" s="272"/>
      <c r="H317" s="272"/>
      <c r="I317" s="272"/>
      <c r="J317" s="272"/>
      <c r="K317" s="272"/>
      <c r="L317" s="272"/>
      <c r="M317" s="272"/>
      <c r="N317" s="272"/>
      <c r="O317" s="272"/>
      <c r="P317" s="272"/>
      <c r="Q317" s="272"/>
      <c r="R317" s="272"/>
      <c r="S317" s="272"/>
      <c r="T317" s="272"/>
    </row>
    <row r="318" spans="1:22">
      <c r="A318" s="272"/>
      <c r="B318" s="272"/>
      <c r="C318" s="272"/>
      <c r="D318" s="272"/>
      <c r="E318" s="272"/>
      <c r="F318" s="272"/>
      <c r="G318" s="272"/>
      <c r="H318" s="272"/>
      <c r="I318" s="272"/>
      <c r="J318" s="272"/>
      <c r="K318" s="272"/>
      <c r="L318" s="272"/>
      <c r="M318" s="272"/>
      <c r="N318" s="272"/>
      <c r="O318" s="272"/>
      <c r="P318" s="272"/>
      <c r="Q318" s="272"/>
      <c r="R318" s="272"/>
      <c r="S318" s="272"/>
      <c r="T318" s="272"/>
    </row>
    <row r="319" spans="1:22">
      <c r="A319" s="90"/>
      <c r="B319" s="90"/>
      <c r="C319" s="90"/>
      <c r="D319" s="90"/>
      <c r="E319" s="90"/>
      <c r="F319" s="90"/>
      <c r="G319" s="90"/>
      <c r="H319" s="90"/>
      <c r="I319" s="90"/>
      <c r="J319" s="90"/>
      <c r="K319" s="90"/>
      <c r="L319" s="90"/>
      <c r="M319" s="90"/>
      <c r="N319" s="90"/>
      <c r="O319" s="90"/>
      <c r="P319" s="90"/>
      <c r="Q319" s="90"/>
      <c r="R319" s="90"/>
      <c r="S319" s="90"/>
      <c r="T319" s="90"/>
    </row>
    <row r="320" spans="1:22">
      <c r="A320" s="90"/>
      <c r="B320" s="90"/>
      <c r="C320" s="90"/>
      <c r="D320" s="90"/>
      <c r="E320" s="90"/>
      <c r="F320" s="90"/>
      <c r="G320" s="462" t="str">
        <f>IF(G321&lt;I323,"Yes","No")</f>
        <v>No</v>
      </c>
      <c r="H320" s="462"/>
      <c r="I320" s="90"/>
      <c r="J320" s="90"/>
      <c r="K320" s="90"/>
      <c r="L320" s="90"/>
      <c r="M320" s="90"/>
      <c r="N320" s="90"/>
      <c r="O320" s="90"/>
      <c r="P320" s="90"/>
      <c r="Q320" s="90"/>
      <c r="R320" s="90"/>
      <c r="S320" s="90"/>
      <c r="T320" s="90"/>
      <c r="U320" s="353" t="str">
        <f>IF(G321&gt;I323,"Yes","No")</f>
        <v>Yes</v>
      </c>
      <c r="V320" s="353"/>
    </row>
    <row r="321" spans="1:22" ht="16.5">
      <c r="A321" s="378" t="s">
        <v>384</v>
      </c>
      <c r="B321" s="378"/>
      <c r="C321" s="378"/>
      <c r="D321" s="378"/>
      <c r="E321" s="378"/>
      <c r="F321" s="378"/>
      <c r="G321" s="521">
        <f>99*Q326*(N324*P325*Q35)^0.5</f>
        <v>24946.282784329051</v>
      </c>
      <c r="H321" s="521"/>
      <c r="I321" s="378" t="s">
        <v>247</v>
      </c>
      <c r="J321" s="378"/>
      <c r="K321" s="530" t="s">
        <v>522</v>
      </c>
      <c r="L321" s="378" t="s">
        <v>683</v>
      </c>
      <c r="M321" s="378"/>
      <c r="N321" s="378"/>
      <c r="O321" s="378"/>
      <c r="P321" s="91" t="s">
        <v>522</v>
      </c>
      <c r="Q321" s="31"/>
      <c r="R321" s="31"/>
      <c r="S321" s="31"/>
      <c r="T321" s="31" t="s">
        <v>523</v>
      </c>
      <c r="U321" s="381">
        <f>5742*Q35*P325*1.5</f>
        <v>65130.127919999999</v>
      </c>
      <c r="V321" s="381"/>
    </row>
    <row r="322" spans="1:22" ht="15">
      <c r="A322" s="378"/>
      <c r="B322" s="378"/>
      <c r="C322" s="378"/>
      <c r="D322" s="378"/>
      <c r="E322" s="378"/>
      <c r="F322" s="378"/>
      <c r="G322" s="521"/>
      <c r="H322" s="521"/>
      <c r="I322" s="378"/>
      <c r="J322" s="378"/>
      <c r="K322" s="378"/>
      <c r="Q322" s="31"/>
      <c r="R322" s="31"/>
      <c r="S322" s="31"/>
    </row>
    <row r="323" spans="1:22" ht="15">
      <c r="A323" s="382" t="s">
        <v>682</v>
      </c>
      <c r="B323" s="382"/>
      <c r="C323" s="382"/>
      <c r="D323" s="382"/>
      <c r="E323" s="382"/>
      <c r="F323" s="382"/>
      <c r="G323" s="382"/>
      <c r="H323" s="382"/>
      <c r="I323" s="528">
        <f>201.1*P325*Q35*Q34</f>
        <v>19768.918312000002</v>
      </c>
      <c r="J323" s="528"/>
      <c r="K323" s="378"/>
      <c r="L323" s="30"/>
      <c r="M323" s="30"/>
      <c r="N323" s="30"/>
      <c r="O323" s="30"/>
      <c r="P323" s="30"/>
      <c r="Q323" s="30"/>
      <c r="R323" s="30"/>
      <c r="S323" s="30"/>
      <c r="T323" s="30"/>
    </row>
    <row r="324" spans="1:22" ht="15">
      <c r="A324" s="391" t="s">
        <v>385</v>
      </c>
      <c r="B324" s="391"/>
      <c r="C324" s="391"/>
      <c r="D324" s="391"/>
      <c r="E324" s="391"/>
      <c r="F324" s="391"/>
      <c r="G324" s="391"/>
      <c r="H324" s="391"/>
      <c r="I324" s="391"/>
      <c r="J324" s="391"/>
      <c r="K324" s="391"/>
      <c r="L324" s="391"/>
      <c r="M324" s="391"/>
      <c r="N324" s="382">
        <f>C147</f>
        <v>205</v>
      </c>
      <c r="O324" s="382"/>
      <c r="P324" s="382" t="s">
        <v>68</v>
      </c>
      <c r="Q324" s="382"/>
      <c r="R324" s="30"/>
      <c r="S324" s="30"/>
      <c r="T324" s="30"/>
    </row>
    <row r="325" spans="1:22" ht="15">
      <c r="A325" s="30" t="s">
        <v>386</v>
      </c>
      <c r="B325" s="30"/>
      <c r="C325" s="30"/>
      <c r="D325" s="30"/>
      <c r="E325" s="30"/>
      <c r="F325" s="30"/>
      <c r="G325" s="30"/>
      <c r="H325" s="30"/>
      <c r="I325" s="30"/>
      <c r="J325" s="30"/>
      <c r="K325" s="30"/>
      <c r="L325" s="30"/>
      <c r="M325" s="30"/>
      <c r="N325" s="30"/>
      <c r="O325" s="30"/>
      <c r="P325" s="383">
        <f>(Q36)*(1-(0.4*F91))</f>
        <v>0.85929999999999995</v>
      </c>
      <c r="Q325" s="383"/>
      <c r="R325" s="30"/>
      <c r="S325" s="30"/>
      <c r="T325" s="30"/>
    </row>
    <row r="326" spans="1:22" ht="15">
      <c r="A326" s="557" t="s">
        <v>387</v>
      </c>
      <c r="B326" s="557"/>
      <c r="C326" s="557"/>
      <c r="D326" s="557"/>
      <c r="E326" s="557"/>
      <c r="F326" s="557"/>
      <c r="G326" s="557"/>
      <c r="H326" s="557"/>
      <c r="I326" s="557"/>
      <c r="J326" s="557"/>
      <c r="K326" s="557"/>
      <c r="L326" s="557"/>
      <c r="M326" s="557"/>
      <c r="N326" s="557"/>
      <c r="O326" s="557"/>
      <c r="P326" s="557"/>
      <c r="Q326" s="378">
        <f>'Bottom &amp; Annular plate design'!$F$15-COVER!$H$168</f>
        <v>6.4</v>
      </c>
      <c r="R326" s="378"/>
      <c r="S326" s="378" t="s">
        <v>29</v>
      </c>
      <c r="T326" s="30"/>
    </row>
    <row r="327" spans="1:22" ht="15">
      <c r="A327" s="557"/>
      <c r="B327" s="557"/>
      <c r="C327" s="557"/>
      <c r="D327" s="557"/>
      <c r="E327" s="557"/>
      <c r="F327" s="557"/>
      <c r="G327" s="557"/>
      <c r="H327" s="557"/>
      <c r="I327" s="557"/>
      <c r="J327" s="557"/>
      <c r="K327" s="557"/>
      <c r="L327" s="557"/>
      <c r="M327" s="557"/>
      <c r="N327" s="557"/>
      <c r="O327" s="557"/>
      <c r="P327" s="557"/>
      <c r="Q327" s="378"/>
      <c r="R327" s="378"/>
      <c r="S327" s="378"/>
      <c r="T327" s="30"/>
    </row>
    <row r="328" spans="1:22" ht="15">
      <c r="A328" s="30"/>
      <c r="B328" s="30"/>
      <c r="C328" s="30"/>
      <c r="D328" s="30"/>
      <c r="E328" s="30"/>
      <c r="F328" s="30"/>
      <c r="G328" s="30"/>
      <c r="H328" s="30"/>
      <c r="I328" s="382"/>
      <c r="J328" s="382"/>
      <c r="K328" s="30"/>
      <c r="L328" s="30"/>
      <c r="M328" s="30"/>
      <c r="N328" s="30"/>
      <c r="O328" s="30"/>
      <c r="P328" s="30"/>
      <c r="Q328" s="30"/>
      <c r="R328" s="30"/>
      <c r="S328" s="30"/>
      <c r="T328" s="30"/>
    </row>
    <row r="329" spans="1:22" ht="15">
      <c r="A329" s="30"/>
      <c r="B329" s="30"/>
      <c r="C329" s="30"/>
      <c r="D329" s="30"/>
      <c r="E329" s="30"/>
      <c r="F329" s="30"/>
      <c r="G329" s="30"/>
      <c r="H329" s="30"/>
      <c r="I329" s="382"/>
      <c r="J329" s="382"/>
      <c r="K329" s="380">
        <f>(D280)/(((Q34^2)*(R332*(1-0.4*(F91))))+(U321))</f>
        <v>5.041724298592972</v>
      </c>
      <c r="L329" s="380"/>
      <c r="M329" s="378" t="str">
        <f>IF(K329&gt;0.785,"&gt;","&lt;")</f>
        <v>&gt;</v>
      </c>
      <c r="N329" s="378">
        <v>0.78500000000000003</v>
      </c>
      <c r="O329" s="378"/>
      <c r="P329" s="30"/>
      <c r="Q329" s="30"/>
      <c r="R329" s="30"/>
      <c r="S329" s="30"/>
      <c r="T329" s="30"/>
    </row>
    <row r="330" spans="1:22" ht="15">
      <c r="A330" s="30"/>
      <c r="B330" s="30"/>
      <c r="C330" s="30"/>
      <c r="D330" s="30"/>
      <c r="E330" s="30"/>
      <c r="F330" s="30"/>
      <c r="G330" s="30"/>
      <c r="H330" s="30"/>
      <c r="I330" s="382"/>
      <c r="J330" s="382"/>
      <c r="K330" s="380"/>
      <c r="L330" s="380"/>
      <c r="M330" s="378"/>
      <c r="N330" s="378"/>
      <c r="O330" s="378"/>
      <c r="P330" s="30"/>
      <c r="Q330" s="30"/>
      <c r="R330" s="30"/>
      <c r="S330" s="30"/>
      <c r="T330" s="30"/>
    </row>
    <row r="331" spans="1:22" ht="15">
      <c r="A331" s="30"/>
      <c r="B331" s="30"/>
      <c r="C331" s="30"/>
      <c r="D331" s="30"/>
      <c r="E331" s="30"/>
      <c r="F331" s="30"/>
      <c r="G331" s="30"/>
      <c r="H331" s="30"/>
      <c r="I331" s="382"/>
      <c r="J331" s="382"/>
      <c r="K331" s="30"/>
      <c r="L331" s="30"/>
      <c r="M331" s="30"/>
      <c r="N331" s="30"/>
      <c r="O331" s="30"/>
      <c r="P331" s="30"/>
      <c r="Q331" s="30"/>
      <c r="R331" s="30"/>
      <c r="S331" s="30"/>
      <c r="T331" s="30"/>
    </row>
    <row r="332" spans="1:22" ht="15">
      <c r="A332" s="378" t="s">
        <v>485</v>
      </c>
      <c r="B332" s="378"/>
      <c r="C332" s="378"/>
      <c r="D332" s="378"/>
      <c r="E332" s="378"/>
      <c r="F332" s="378"/>
      <c r="G332" s="378"/>
      <c r="H332" s="378"/>
      <c r="I332" s="378"/>
      <c r="J332" s="378"/>
      <c r="K332" s="378"/>
      <c r="L332" s="382"/>
      <c r="M332" s="30"/>
      <c r="N332" s="30"/>
      <c r="O332" s="30"/>
      <c r="P332" s="30"/>
      <c r="Q332" s="30"/>
      <c r="R332" s="521">
        <f>(R161/(PI()*Q34))+(P335)</f>
        <v>9015.9959653402548</v>
      </c>
      <c r="S332" s="521"/>
      <c r="T332" s="30"/>
    </row>
    <row r="333" spans="1:22" ht="15">
      <c r="A333" s="378"/>
      <c r="B333" s="378"/>
      <c r="C333" s="378"/>
      <c r="D333" s="378"/>
      <c r="E333" s="378"/>
      <c r="F333" s="378"/>
      <c r="G333" s="378"/>
      <c r="H333" s="378"/>
      <c r="I333" s="378"/>
      <c r="J333" s="378"/>
      <c r="K333" s="378"/>
      <c r="L333" s="382"/>
      <c r="M333" s="30"/>
      <c r="N333" s="30"/>
      <c r="O333" s="30"/>
      <c r="P333" s="30"/>
      <c r="Q333" s="30"/>
      <c r="R333" s="521"/>
      <c r="S333" s="521"/>
      <c r="T333" s="30"/>
    </row>
    <row r="334" spans="1:22" ht="15">
      <c r="A334" s="30"/>
      <c r="B334" s="30"/>
      <c r="C334" s="30"/>
      <c r="D334" s="30"/>
      <c r="E334" s="30"/>
      <c r="F334" s="30"/>
      <c r="G334" s="30"/>
      <c r="H334" s="30"/>
      <c r="I334" s="30"/>
      <c r="J334" s="30"/>
      <c r="K334" s="30"/>
      <c r="L334" s="30"/>
      <c r="M334" s="30"/>
      <c r="N334" s="30"/>
      <c r="O334" s="30"/>
      <c r="P334" s="30"/>
      <c r="Q334" s="30"/>
      <c r="R334" s="30"/>
      <c r="S334" s="30"/>
      <c r="T334" s="30"/>
    </row>
    <row r="335" spans="1:22" ht="15">
      <c r="A335" s="378" t="s">
        <v>388</v>
      </c>
      <c r="B335" s="378"/>
      <c r="C335" s="378"/>
      <c r="D335" s="378"/>
      <c r="E335" s="378"/>
      <c r="F335" s="378"/>
      <c r="G335" s="378"/>
      <c r="H335" s="378"/>
      <c r="I335" s="378"/>
      <c r="J335" s="378"/>
      <c r="K335" s="378"/>
      <c r="L335" s="378"/>
      <c r="M335" s="378"/>
      <c r="N335" s="378"/>
      <c r="O335" s="378"/>
      <c r="P335" s="521">
        <f>(R163*1.1)/(Q34*PI())</f>
        <v>3515.5009653402549</v>
      </c>
      <c r="Q335" s="521"/>
      <c r="R335" s="30"/>
      <c r="S335" s="30"/>
      <c r="T335" s="30"/>
    </row>
    <row r="336" spans="1:22" ht="15">
      <c r="A336" s="378"/>
      <c r="B336" s="378"/>
      <c r="C336" s="378"/>
      <c r="D336" s="378"/>
      <c r="E336" s="378"/>
      <c r="F336" s="378"/>
      <c r="G336" s="378"/>
      <c r="H336" s="378"/>
      <c r="I336" s="378"/>
      <c r="J336" s="378"/>
      <c r="K336" s="378"/>
      <c r="L336" s="378"/>
      <c r="M336" s="378"/>
      <c r="N336" s="378"/>
      <c r="O336" s="378"/>
      <c r="P336" s="521"/>
      <c r="Q336" s="521"/>
      <c r="R336" s="30"/>
      <c r="S336" s="30"/>
      <c r="T336" s="30"/>
    </row>
    <row r="337" spans="1:20">
      <c r="A337" s="557" t="s">
        <v>389</v>
      </c>
      <c r="B337" s="557"/>
      <c r="C337" s="557"/>
      <c r="D337" s="557"/>
      <c r="E337" s="557"/>
      <c r="F337" s="557"/>
      <c r="G337" s="557"/>
      <c r="H337" s="557"/>
      <c r="I337" s="557"/>
      <c r="J337" s="557"/>
      <c r="K337" s="557"/>
      <c r="L337" s="557"/>
      <c r="M337" s="557"/>
      <c r="N337" s="557"/>
      <c r="O337" s="557"/>
      <c r="P337" s="557"/>
      <c r="Q337" s="557"/>
      <c r="R337" s="557"/>
      <c r="S337" s="378">
        <v>0</v>
      </c>
      <c r="T337" s="378"/>
    </row>
    <row r="338" spans="1:20">
      <c r="A338" s="557"/>
      <c r="B338" s="557"/>
      <c r="C338" s="557"/>
      <c r="D338" s="557"/>
      <c r="E338" s="557"/>
      <c r="F338" s="557"/>
      <c r="G338" s="557"/>
      <c r="H338" s="557"/>
      <c r="I338" s="557"/>
      <c r="J338" s="557"/>
      <c r="K338" s="557"/>
      <c r="L338" s="557"/>
      <c r="M338" s="557"/>
      <c r="N338" s="557"/>
      <c r="O338" s="557"/>
      <c r="P338" s="557"/>
      <c r="Q338" s="557"/>
      <c r="R338" s="557"/>
      <c r="S338" s="378"/>
      <c r="T338" s="378"/>
    </row>
    <row r="339" spans="1:20" ht="15">
      <c r="A339" s="30"/>
      <c r="B339" s="30"/>
      <c r="C339" s="30"/>
      <c r="D339" s="30"/>
      <c r="E339" s="30"/>
      <c r="F339" s="30"/>
      <c r="G339" s="30"/>
      <c r="H339" s="30"/>
      <c r="I339" s="30"/>
      <c r="J339" s="30"/>
      <c r="K339" s="30"/>
      <c r="L339" s="30"/>
      <c r="M339" s="30"/>
      <c r="N339" s="30"/>
      <c r="O339" s="30"/>
      <c r="P339" s="30"/>
      <c r="Q339" s="30"/>
      <c r="R339" s="30"/>
      <c r="S339" s="30"/>
      <c r="T339" s="30"/>
    </row>
    <row r="340" spans="1:20" ht="15">
      <c r="A340" s="30"/>
      <c r="B340" s="30"/>
      <c r="C340" s="30"/>
      <c r="D340" s="30"/>
      <c r="E340" s="30"/>
      <c r="F340" s="30"/>
      <c r="G340" s="30"/>
      <c r="H340" s="30"/>
      <c r="I340" s="30"/>
      <c r="J340" s="30"/>
      <c r="K340" s="30"/>
      <c r="L340" s="30"/>
      <c r="M340" s="30"/>
      <c r="N340" s="30"/>
      <c r="O340" s="30"/>
      <c r="P340" s="30"/>
      <c r="Q340" s="30"/>
      <c r="R340" s="30"/>
      <c r="S340" s="30"/>
      <c r="T340" s="30"/>
    </row>
    <row r="341" spans="1:20" ht="15">
      <c r="A341" s="30"/>
      <c r="B341" s="30"/>
      <c r="C341" s="30"/>
      <c r="D341" s="30"/>
      <c r="E341" s="30"/>
      <c r="F341" s="30"/>
      <c r="G341" s="30"/>
      <c r="H341" s="30"/>
      <c r="I341" s="30"/>
      <c r="J341" s="30"/>
      <c r="K341" s="30"/>
      <c r="L341" s="30"/>
      <c r="M341" s="30"/>
      <c r="N341" s="30"/>
      <c r="O341" s="30"/>
      <c r="P341" s="30"/>
      <c r="Q341" s="30"/>
      <c r="R341" s="30"/>
      <c r="S341" s="30"/>
      <c r="T341" s="30"/>
    </row>
    <row r="342" spans="1:20" ht="15">
      <c r="A342" s="30"/>
      <c r="B342" s="30"/>
      <c r="C342" s="30"/>
      <c r="D342" s="30"/>
      <c r="E342" s="30"/>
      <c r="F342" s="30"/>
      <c r="G342" s="30"/>
      <c r="H342" s="30"/>
      <c r="I342" s="30"/>
      <c r="J342" s="30"/>
      <c r="K342" s="30"/>
      <c r="L342" s="30"/>
      <c r="M342" s="30"/>
      <c r="N342" s="30"/>
      <c r="O342" s="30"/>
      <c r="P342" s="30"/>
      <c r="Q342" s="30"/>
      <c r="R342" s="30"/>
      <c r="S342" s="30"/>
      <c r="T342" s="30"/>
    </row>
    <row r="343" spans="1:20" ht="15">
      <c r="A343" s="30"/>
      <c r="B343" s="30"/>
      <c r="C343" s="30"/>
      <c r="D343" s="30"/>
      <c r="E343" s="30"/>
      <c r="F343" s="30"/>
      <c r="G343" s="30"/>
      <c r="H343" s="30"/>
      <c r="I343" s="30"/>
      <c r="J343" s="30"/>
      <c r="K343" s="30"/>
      <c r="L343" s="30"/>
      <c r="M343" s="30"/>
      <c r="N343" s="30"/>
      <c r="O343" s="30"/>
      <c r="P343" s="30"/>
      <c r="Q343" s="30"/>
      <c r="R343" s="30"/>
      <c r="S343" s="30"/>
      <c r="T343" s="30"/>
    </row>
    <row r="344" spans="1:20" ht="15">
      <c r="A344" s="30"/>
      <c r="B344" s="30"/>
      <c r="C344" s="30"/>
      <c r="D344" s="30"/>
      <c r="E344" s="30"/>
      <c r="F344" s="30"/>
      <c r="G344" s="30"/>
      <c r="H344" s="30"/>
      <c r="I344" s="30"/>
      <c r="J344" s="30"/>
      <c r="K344" s="30"/>
      <c r="L344" s="30"/>
      <c r="M344" s="30"/>
      <c r="N344" s="30"/>
      <c r="O344" s="30"/>
      <c r="P344" s="30"/>
      <c r="Q344" s="30"/>
      <c r="R344" s="30"/>
      <c r="S344" s="30"/>
      <c r="T344" s="30"/>
    </row>
    <row r="345" spans="1:20" ht="15">
      <c r="A345" s="30"/>
      <c r="B345" s="30"/>
      <c r="C345" s="30"/>
      <c r="D345" s="30"/>
      <c r="E345" s="30"/>
      <c r="F345" s="30"/>
      <c r="G345" s="30"/>
      <c r="H345" s="30"/>
      <c r="I345" s="30"/>
      <c r="J345" s="30"/>
      <c r="K345" s="30"/>
      <c r="L345" s="30"/>
      <c r="M345" s="30"/>
      <c r="N345" s="30"/>
      <c r="O345" s="30"/>
      <c r="P345" s="30"/>
      <c r="Q345" s="30"/>
      <c r="R345" s="30"/>
      <c r="S345" s="30"/>
      <c r="T345" s="30"/>
    </row>
    <row r="346" spans="1:20" ht="15">
      <c r="A346" s="30"/>
      <c r="B346" s="30"/>
      <c r="C346" s="30"/>
      <c r="D346" s="30"/>
      <c r="E346" s="30"/>
      <c r="F346" s="30"/>
      <c r="G346" s="30"/>
      <c r="H346" s="30"/>
      <c r="I346" s="30"/>
      <c r="J346" s="30"/>
      <c r="K346" s="30"/>
      <c r="L346" s="30"/>
      <c r="M346" s="30"/>
      <c r="N346" s="30"/>
      <c r="O346" s="30"/>
      <c r="P346" s="30"/>
      <c r="Q346" s="30"/>
      <c r="R346" s="30"/>
      <c r="S346" s="30"/>
      <c r="T346" s="30"/>
    </row>
    <row r="347" spans="1:20" ht="15">
      <c r="A347" s="30"/>
      <c r="B347" s="30"/>
      <c r="C347" s="30"/>
      <c r="D347" s="30"/>
      <c r="E347" s="30"/>
      <c r="F347" s="30"/>
      <c r="G347" s="30"/>
      <c r="H347" s="30"/>
      <c r="I347" s="30"/>
      <c r="J347" s="30"/>
      <c r="K347" s="30"/>
      <c r="L347" s="30"/>
      <c r="M347" s="30"/>
      <c r="N347" s="30"/>
      <c r="O347" s="30"/>
      <c r="P347" s="30"/>
      <c r="Q347" s="30"/>
      <c r="R347" s="30"/>
      <c r="S347" s="30"/>
      <c r="T347" s="30"/>
    </row>
    <row r="348" spans="1:20" ht="15">
      <c r="A348" s="30"/>
      <c r="B348" s="30"/>
      <c r="C348" s="30"/>
      <c r="D348" s="30"/>
      <c r="E348" s="30"/>
      <c r="F348" s="30"/>
      <c r="G348" s="30"/>
      <c r="H348" s="30"/>
      <c r="I348" s="30"/>
      <c r="J348" s="30"/>
      <c r="K348" s="30"/>
      <c r="L348" s="30"/>
      <c r="M348" s="30"/>
      <c r="N348" s="30"/>
      <c r="O348" s="30"/>
      <c r="P348" s="30"/>
      <c r="Q348" s="30"/>
      <c r="R348" s="30"/>
      <c r="S348" s="30"/>
      <c r="T348" s="30"/>
    </row>
    <row r="349" spans="1:20" ht="15">
      <c r="A349" s="30"/>
      <c r="B349" s="519" t="s">
        <v>148</v>
      </c>
      <c r="C349" s="519"/>
      <c r="D349" s="519"/>
      <c r="E349" s="519"/>
      <c r="F349" s="519"/>
      <c r="G349" s="519"/>
      <c r="H349" s="519"/>
      <c r="I349" s="519"/>
      <c r="J349" s="519"/>
      <c r="K349" s="519"/>
      <c r="L349" s="519"/>
      <c r="M349" s="519"/>
      <c r="N349" s="519"/>
      <c r="O349" s="519"/>
      <c r="P349" s="519"/>
      <c r="Q349" s="519"/>
      <c r="R349" s="519"/>
      <c r="S349" s="519"/>
      <c r="T349" s="30"/>
    </row>
    <row r="350" spans="1:20" ht="15">
      <c r="A350" s="30"/>
      <c r="B350" s="162" t="s">
        <v>734</v>
      </c>
      <c r="C350" s="162"/>
      <c r="D350" s="162"/>
      <c r="E350" s="162"/>
      <c r="F350" s="162"/>
      <c r="G350" s="162"/>
      <c r="H350" s="162"/>
      <c r="I350" s="162"/>
      <c r="J350" s="162"/>
      <c r="K350" s="162"/>
      <c r="L350" s="162"/>
      <c r="M350" s="162"/>
      <c r="N350" s="162"/>
      <c r="O350" s="162"/>
      <c r="P350" s="162"/>
      <c r="Q350" s="162"/>
      <c r="R350" s="162"/>
      <c r="S350" s="162"/>
      <c r="T350" s="30"/>
    </row>
    <row r="351" spans="1:20" ht="15">
      <c r="A351" s="30"/>
      <c r="B351" s="162"/>
      <c r="C351" s="162"/>
      <c r="D351" s="162"/>
      <c r="E351" s="162"/>
      <c r="F351" s="162"/>
      <c r="G351" s="162"/>
      <c r="H351" s="162"/>
      <c r="I351" s="162"/>
      <c r="J351" s="162"/>
      <c r="K351" s="162"/>
      <c r="L351" s="162"/>
      <c r="M351" s="162"/>
      <c r="N351" s="162"/>
      <c r="O351" s="162"/>
      <c r="P351" s="162"/>
      <c r="Q351" s="162"/>
      <c r="R351" s="162"/>
      <c r="S351" s="162"/>
      <c r="T351" s="30"/>
    </row>
    <row r="352" spans="1:20" ht="15">
      <c r="A352" s="30"/>
      <c r="B352" s="30"/>
      <c r="C352" s="30"/>
      <c r="D352" s="30"/>
      <c r="E352" s="30"/>
      <c r="F352" s="30"/>
      <c r="G352" s="30"/>
      <c r="H352" s="30"/>
      <c r="I352" s="30"/>
      <c r="J352" s="30"/>
      <c r="K352" s="30"/>
      <c r="L352" s="30"/>
      <c r="M352" s="30"/>
      <c r="N352" s="30"/>
      <c r="O352" s="30"/>
      <c r="P352" s="30"/>
      <c r="Q352" s="30"/>
      <c r="R352" s="30"/>
      <c r="S352" s="30"/>
      <c r="T352" s="30"/>
    </row>
    <row r="353" spans="1:22" ht="15">
      <c r="A353" s="30"/>
      <c r="B353" s="30"/>
      <c r="C353" s="30"/>
      <c r="D353" s="30"/>
      <c r="E353" s="30"/>
      <c r="F353" s="30"/>
      <c r="G353" s="30"/>
      <c r="H353" s="30"/>
      <c r="I353" s="30"/>
      <c r="J353" s="30"/>
      <c r="K353" s="30"/>
      <c r="L353" s="30"/>
      <c r="M353" s="30"/>
      <c r="N353" s="30"/>
      <c r="O353" s="30"/>
      <c r="P353" s="30"/>
      <c r="Q353" s="30"/>
      <c r="R353" s="30"/>
      <c r="S353" s="30"/>
      <c r="T353" s="30"/>
    </row>
    <row r="363" spans="1:22" ht="15" thickBot="1"/>
    <row r="364" spans="1:22" ht="15" customHeight="1">
      <c r="A364" s="229"/>
      <c r="B364" s="230"/>
      <c r="C364" s="230"/>
      <c r="D364" s="230"/>
      <c r="E364" s="231"/>
      <c r="F364" s="158" t="str">
        <f>F306</f>
        <v>نگهداشت و افزایش تولید میدان نفتی بینک
سطح الارض و ابنیه تحت الارض 
خرید مخازن ذخیره گاز ایستگاه تقویت فشار گاز بینک 
(قرارداد BK-HD-GCS-CO-0026_00 )</v>
      </c>
      <c r="G364" s="159"/>
      <c r="H364" s="159"/>
      <c r="I364" s="159"/>
      <c r="J364" s="159"/>
      <c r="K364" s="159"/>
      <c r="L364" s="159"/>
      <c r="M364" s="159"/>
      <c r="N364" s="159"/>
      <c r="O364" s="159"/>
      <c r="P364" s="159"/>
      <c r="Q364" s="160"/>
      <c r="R364" s="238"/>
      <c r="S364" s="238"/>
      <c r="T364" s="238"/>
      <c r="U364" s="238"/>
      <c r="V364" s="239"/>
    </row>
    <row r="365" spans="1:22">
      <c r="A365" s="232"/>
      <c r="B365" s="233"/>
      <c r="C365" s="233"/>
      <c r="D365" s="233"/>
      <c r="E365" s="234"/>
      <c r="F365" s="161"/>
      <c r="G365" s="162"/>
      <c r="H365" s="162"/>
      <c r="I365" s="162"/>
      <c r="J365" s="162"/>
      <c r="K365" s="162"/>
      <c r="L365" s="162"/>
      <c r="M365" s="162"/>
      <c r="N365" s="162"/>
      <c r="O365" s="162"/>
      <c r="P365" s="162"/>
      <c r="Q365" s="163"/>
      <c r="R365" s="177"/>
      <c r="S365" s="177"/>
      <c r="T365" s="177"/>
      <c r="U365" s="177"/>
      <c r="V365" s="240"/>
    </row>
    <row r="366" spans="1:22">
      <c r="A366" s="232"/>
      <c r="B366" s="233"/>
      <c r="C366" s="233"/>
      <c r="D366" s="233"/>
      <c r="E366" s="234"/>
      <c r="F366" s="161"/>
      <c r="G366" s="162"/>
      <c r="H366" s="162"/>
      <c r="I366" s="162"/>
      <c r="J366" s="162"/>
      <c r="K366" s="162"/>
      <c r="L366" s="162"/>
      <c r="M366" s="162"/>
      <c r="N366" s="162"/>
      <c r="O366" s="162"/>
      <c r="P366" s="162"/>
      <c r="Q366" s="163"/>
      <c r="R366" s="177"/>
      <c r="S366" s="177"/>
      <c r="T366" s="177"/>
      <c r="U366" s="177"/>
      <c r="V366" s="240"/>
    </row>
    <row r="367" spans="1:22">
      <c r="A367" s="232"/>
      <c r="B367" s="233"/>
      <c r="C367" s="233"/>
      <c r="D367" s="233"/>
      <c r="E367" s="234"/>
      <c r="F367" s="161"/>
      <c r="G367" s="162"/>
      <c r="H367" s="162"/>
      <c r="I367" s="162"/>
      <c r="J367" s="162"/>
      <c r="K367" s="162"/>
      <c r="L367" s="162"/>
      <c r="M367" s="162"/>
      <c r="N367" s="162"/>
      <c r="O367" s="162"/>
      <c r="P367" s="162"/>
      <c r="Q367" s="163"/>
      <c r="R367" s="177"/>
      <c r="S367" s="177"/>
      <c r="T367" s="177"/>
      <c r="U367" s="177"/>
      <c r="V367" s="240"/>
    </row>
    <row r="368" spans="1:22">
      <c r="A368" s="232"/>
      <c r="B368" s="233"/>
      <c r="C368" s="233"/>
      <c r="D368" s="233"/>
      <c r="E368" s="234"/>
      <c r="F368" s="164"/>
      <c r="G368" s="165"/>
      <c r="H368" s="165"/>
      <c r="I368" s="165"/>
      <c r="J368" s="165"/>
      <c r="K368" s="165"/>
      <c r="L368" s="165"/>
      <c r="M368" s="165"/>
      <c r="N368" s="165"/>
      <c r="O368" s="165"/>
      <c r="P368" s="165"/>
      <c r="Q368" s="166"/>
      <c r="R368" s="177"/>
      <c r="S368" s="177"/>
      <c r="T368" s="177"/>
      <c r="U368" s="177"/>
      <c r="V368" s="240"/>
    </row>
    <row r="369" spans="1:22" ht="27" customHeight="1">
      <c r="A369" s="235"/>
      <c r="B369" s="236"/>
      <c r="C369" s="236"/>
      <c r="D369" s="236"/>
      <c r="E369" s="237"/>
      <c r="F369" s="265" t="str">
        <f>F311</f>
        <v>Mechanical Calculation Book For Fire Water Tanks (TK-2301A/B)</v>
      </c>
      <c r="G369" s="266"/>
      <c r="H369" s="266"/>
      <c r="I369" s="266"/>
      <c r="J369" s="266"/>
      <c r="K369" s="266"/>
      <c r="L369" s="266"/>
      <c r="M369" s="266"/>
      <c r="N369" s="266"/>
      <c r="O369" s="266"/>
      <c r="P369" s="266"/>
      <c r="Q369" s="267"/>
      <c r="R369" s="177"/>
      <c r="S369" s="177"/>
      <c r="T369" s="177"/>
      <c r="U369" s="177"/>
      <c r="V369" s="240"/>
    </row>
    <row r="370" spans="1:22" ht="20.45" customHeight="1">
      <c r="A370" s="167" t="s">
        <v>743</v>
      </c>
      <c r="B370" s="168"/>
      <c r="C370" s="168"/>
      <c r="D370" s="168"/>
      <c r="E370" s="169"/>
      <c r="F370" s="125" t="s">
        <v>744</v>
      </c>
      <c r="G370" s="170" t="s">
        <v>745</v>
      </c>
      <c r="H370" s="171"/>
      <c r="I370" s="170" t="s">
        <v>746</v>
      </c>
      <c r="J370" s="171"/>
      <c r="K370" s="170" t="s">
        <v>747</v>
      </c>
      <c r="L370" s="171"/>
      <c r="M370" s="125" t="s">
        <v>748</v>
      </c>
      <c r="N370" s="170" t="s">
        <v>749</v>
      </c>
      <c r="O370" s="171"/>
      <c r="P370" s="125" t="s">
        <v>750</v>
      </c>
      <c r="Q370" s="126" t="s">
        <v>751</v>
      </c>
      <c r="R370" s="172">
        <f>R312</f>
        <v>29</v>
      </c>
      <c r="S370" s="174" t="s">
        <v>752</v>
      </c>
      <c r="T370" s="263">
        <f>T312+1</f>
        <v>23</v>
      </c>
      <c r="U370" s="168" t="s">
        <v>753</v>
      </c>
      <c r="V370" s="188"/>
    </row>
    <row r="371" spans="1:22" ht="21.6" customHeight="1" thickBot="1">
      <c r="A371" s="191" t="s">
        <v>754</v>
      </c>
      <c r="B371" s="175"/>
      <c r="C371" s="175"/>
      <c r="D371" s="175"/>
      <c r="E371" s="192"/>
      <c r="F371" s="132" t="s">
        <v>755</v>
      </c>
      <c r="G371" s="193" t="s">
        <v>756</v>
      </c>
      <c r="H371" s="193"/>
      <c r="I371" s="193" t="s">
        <v>878</v>
      </c>
      <c r="J371" s="193"/>
      <c r="K371" s="193">
        <v>120</v>
      </c>
      <c r="L371" s="193"/>
      <c r="M371" s="132" t="s">
        <v>757</v>
      </c>
      <c r="N371" s="193" t="s">
        <v>879</v>
      </c>
      <c r="O371" s="193"/>
      <c r="P371" s="142" t="s">
        <v>881</v>
      </c>
      <c r="Q371" s="133" t="str">
        <f>Q313</f>
        <v>V01</v>
      </c>
      <c r="R371" s="173"/>
      <c r="S371" s="175"/>
      <c r="T371" s="264"/>
      <c r="U371" s="189"/>
      <c r="V371" s="190"/>
    </row>
    <row r="372" spans="1:22" ht="15" customHeight="1">
      <c r="A372" s="561" t="s">
        <v>684</v>
      </c>
      <c r="B372" s="561"/>
      <c r="C372" s="561"/>
      <c r="D372" s="561"/>
      <c r="E372" s="561"/>
      <c r="F372" s="561"/>
      <c r="G372" s="561"/>
      <c r="H372" s="561"/>
      <c r="I372" s="561"/>
      <c r="J372" s="561"/>
      <c r="K372" s="561"/>
      <c r="L372" s="561"/>
      <c r="M372" s="561"/>
      <c r="N372" s="561"/>
      <c r="O372" s="561"/>
      <c r="P372" s="561"/>
      <c r="Q372" s="561"/>
      <c r="R372" s="561"/>
      <c r="S372" s="561"/>
      <c r="T372" s="561"/>
      <c r="U372" s="30"/>
    </row>
    <row r="373" spans="1:22" ht="15" customHeight="1">
      <c r="A373" s="561"/>
      <c r="B373" s="561"/>
      <c r="C373" s="561"/>
      <c r="D373" s="561"/>
      <c r="E373" s="561"/>
      <c r="F373" s="561"/>
      <c r="G373" s="561"/>
      <c r="H373" s="561"/>
      <c r="I373" s="561"/>
      <c r="J373" s="561"/>
      <c r="K373" s="561"/>
      <c r="L373" s="561"/>
      <c r="M373" s="561"/>
      <c r="N373" s="561"/>
      <c r="O373" s="561"/>
      <c r="P373" s="561"/>
      <c r="Q373" s="561"/>
      <c r="R373" s="561"/>
      <c r="S373" s="561"/>
      <c r="T373" s="561"/>
      <c r="U373" s="30"/>
    </row>
    <row r="374" spans="1:22" ht="15">
      <c r="A374" s="562" t="s">
        <v>696</v>
      </c>
      <c r="B374" s="562"/>
      <c r="C374" s="562"/>
      <c r="D374" s="562"/>
      <c r="E374" s="562"/>
      <c r="F374" s="562"/>
      <c r="G374" s="562"/>
      <c r="H374" s="562"/>
      <c r="I374" s="562"/>
      <c r="J374" s="562"/>
      <c r="K374" s="562"/>
      <c r="L374" s="30"/>
      <c r="M374" s="30"/>
      <c r="N374" s="30"/>
      <c r="O374" s="30"/>
      <c r="P374" s="30"/>
      <c r="Q374" s="30"/>
      <c r="R374" s="30"/>
      <c r="S374" s="30"/>
      <c r="T374" s="30"/>
      <c r="U374" s="30"/>
    </row>
    <row r="375" spans="1:22" ht="15">
      <c r="A375" s="562"/>
      <c r="B375" s="562"/>
      <c r="C375" s="562"/>
      <c r="D375" s="562"/>
      <c r="E375" s="562"/>
      <c r="F375" s="562"/>
      <c r="G375" s="562"/>
      <c r="H375" s="562"/>
      <c r="I375" s="562"/>
      <c r="J375" s="562"/>
      <c r="K375" s="562"/>
      <c r="L375" s="51"/>
      <c r="M375" s="51"/>
      <c r="N375" s="51"/>
      <c r="O375" s="51"/>
      <c r="P375" s="51"/>
      <c r="Q375" s="51"/>
      <c r="R375" s="51"/>
      <c r="S375" s="51"/>
      <c r="T375" s="51"/>
      <c r="U375" s="30"/>
    </row>
    <row r="376" spans="1:22" ht="15">
      <c r="A376" s="107"/>
      <c r="B376" s="107"/>
      <c r="C376" s="107"/>
      <c r="D376" s="107"/>
      <c r="E376" s="107"/>
      <c r="F376" s="107"/>
      <c r="G376" s="107"/>
      <c r="H376" s="107"/>
      <c r="I376" s="107"/>
      <c r="J376" s="107"/>
      <c r="K376" s="107"/>
      <c r="L376" s="51"/>
      <c r="M376" s="51"/>
      <c r="N376" s="51"/>
      <c r="O376" s="51"/>
      <c r="P376" s="51"/>
      <c r="Q376" s="51"/>
      <c r="R376" s="51"/>
      <c r="S376" s="51"/>
      <c r="T376" s="51"/>
      <c r="U376" s="30"/>
    </row>
    <row r="377" spans="1:22" ht="15">
      <c r="A377" s="107"/>
      <c r="B377" s="107"/>
      <c r="C377" s="107"/>
      <c r="D377" s="107"/>
      <c r="E377" s="107"/>
      <c r="F377" s="107"/>
      <c r="G377" s="107"/>
      <c r="H377" s="107"/>
      <c r="I377" s="107"/>
      <c r="J377" s="107"/>
      <c r="K377" s="107"/>
      <c r="L377" s="51"/>
      <c r="M377" s="51"/>
      <c r="N377" s="51"/>
      <c r="O377" s="51"/>
      <c r="P377" s="51"/>
      <c r="Q377" s="51"/>
      <c r="R377" s="51"/>
      <c r="S377" s="51"/>
      <c r="T377" s="51"/>
      <c r="U377" s="30"/>
    </row>
    <row r="378" spans="1:22" ht="15">
      <c r="A378" s="107"/>
      <c r="B378" s="107"/>
      <c r="C378" s="107"/>
      <c r="D378" s="107"/>
      <c r="E378" s="107"/>
      <c r="F378" s="107"/>
      <c r="G378" s="107"/>
      <c r="H378" s="107"/>
      <c r="I378" s="107"/>
      <c r="J378" s="107"/>
      <c r="K378" s="107"/>
      <c r="L378" s="51"/>
      <c r="M378" s="51"/>
      <c r="N378" s="51"/>
      <c r="O378" s="51"/>
      <c r="P378" s="51"/>
      <c r="Q378" s="51"/>
      <c r="R378" s="51"/>
      <c r="S378" s="51"/>
      <c r="T378" s="51"/>
      <c r="U378" s="30"/>
    </row>
    <row r="379" spans="1:22" ht="15">
      <c r="A379" s="107"/>
      <c r="B379" s="107"/>
      <c r="C379" s="107"/>
      <c r="D379" s="107"/>
      <c r="E379" s="107"/>
      <c r="F379" s="107"/>
      <c r="G379" s="107"/>
      <c r="H379" s="107"/>
      <c r="I379" s="107"/>
      <c r="J379" s="107"/>
      <c r="K379" s="107"/>
      <c r="L379" s="51"/>
      <c r="M379" s="51"/>
      <c r="N379" s="51"/>
      <c r="O379" s="51"/>
      <c r="P379" s="51"/>
      <c r="Q379" s="51"/>
      <c r="R379" s="51"/>
      <c r="S379" s="51"/>
      <c r="T379" s="51"/>
      <c r="U379" s="30"/>
    </row>
    <row r="380" spans="1:22" ht="15">
      <c r="A380" s="30"/>
      <c r="B380" s="30"/>
      <c r="C380" s="30"/>
      <c r="D380" s="30"/>
      <c r="E380" s="30"/>
      <c r="F380" s="30"/>
      <c r="G380" s="30"/>
      <c r="H380" s="30"/>
      <c r="I380" s="30"/>
      <c r="J380" s="382"/>
      <c r="K380" s="30"/>
      <c r="L380" s="30"/>
      <c r="M380" s="30"/>
      <c r="N380" s="30"/>
      <c r="O380" s="30"/>
      <c r="P380" s="30"/>
      <c r="Q380" s="30"/>
      <c r="R380" s="30"/>
      <c r="S380" s="30"/>
      <c r="T380" s="30"/>
      <c r="U380" s="30"/>
    </row>
    <row r="381" spans="1:22" ht="15">
      <c r="A381" s="30"/>
      <c r="B381" s="30"/>
      <c r="C381" s="30"/>
      <c r="D381" s="30"/>
      <c r="E381" s="30"/>
      <c r="F381" s="30"/>
      <c r="G381" s="30"/>
      <c r="H381" s="30"/>
      <c r="I381" s="30"/>
      <c r="J381" s="382"/>
      <c r="K381" s="30"/>
      <c r="L381" s="30"/>
      <c r="M381" s="30"/>
      <c r="N381" s="30"/>
      <c r="O381" s="30"/>
      <c r="P381" s="30"/>
      <c r="Q381" s="30"/>
      <c r="R381" s="30"/>
      <c r="S381" s="30"/>
      <c r="T381" s="30"/>
      <c r="U381" s="30"/>
    </row>
    <row r="382" spans="1:22" ht="15">
      <c r="A382" s="30"/>
      <c r="B382" s="30"/>
      <c r="C382" s="30"/>
      <c r="D382" s="30"/>
      <c r="E382" s="30"/>
      <c r="F382" s="30"/>
      <c r="G382" s="30"/>
      <c r="H382" s="30"/>
      <c r="I382" s="30"/>
      <c r="J382" s="30"/>
      <c r="K382" s="30"/>
      <c r="L382" s="30"/>
      <c r="M382" s="30"/>
      <c r="N382" s="30"/>
      <c r="O382" s="30"/>
      <c r="P382" s="30"/>
      <c r="Q382" s="30"/>
      <c r="R382" s="30"/>
      <c r="S382" s="30"/>
      <c r="T382" s="30"/>
      <c r="U382" s="30"/>
    </row>
    <row r="383" spans="1:22" ht="15" customHeight="1">
      <c r="A383" s="36" t="s">
        <v>390</v>
      </c>
      <c r="B383" s="382" t="s">
        <v>392</v>
      </c>
      <c r="C383" s="382"/>
      <c r="D383" s="382"/>
      <c r="E383" s="382"/>
      <c r="F383" s="382"/>
      <c r="G383" s="382"/>
      <c r="H383" s="382"/>
      <c r="I383" s="382"/>
      <c r="J383" s="382"/>
      <c r="K383" s="382"/>
      <c r="L383" s="382"/>
      <c r="M383" s="382"/>
      <c r="N383" s="382"/>
      <c r="O383" s="382"/>
      <c r="P383" s="382">
        <f>'Shell Plate Design '!O39</f>
        <v>8</v>
      </c>
      <c r="Q383" s="382"/>
      <c r="R383" s="382" t="s">
        <v>29</v>
      </c>
      <c r="S383" s="382"/>
      <c r="T383" s="30"/>
      <c r="U383" s="30"/>
    </row>
    <row r="384" spans="1:22" ht="15">
      <c r="A384" s="37" t="s">
        <v>391</v>
      </c>
      <c r="B384" s="382" t="s">
        <v>393</v>
      </c>
      <c r="C384" s="382"/>
      <c r="D384" s="382"/>
      <c r="E384" s="382"/>
      <c r="F384" s="382"/>
      <c r="G384" s="382"/>
      <c r="H384" s="382"/>
      <c r="I384" s="382"/>
      <c r="J384" s="382"/>
      <c r="K384" s="382"/>
      <c r="L384" s="382"/>
      <c r="M384" s="382"/>
      <c r="N384" s="382"/>
      <c r="O384" s="382"/>
      <c r="P384" s="382">
        <f>COVER!H168</f>
        <v>1.6</v>
      </c>
      <c r="Q384" s="382"/>
      <c r="R384" s="382" t="s">
        <v>29</v>
      </c>
      <c r="S384" s="382"/>
      <c r="T384" s="30"/>
      <c r="U384" s="30"/>
    </row>
    <row r="385" spans="1:21" ht="15.75">
      <c r="A385" s="33" t="s">
        <v>486</v>
      </c>
      <c r="B385" s="382" t="s">
        <v>394</v>
      </c>
      <c r="C385" s="382"/>
      <c r="D385" s="382"/>
      <c r="E385" s="382"/>
      <c r="F385" s="382"/>
      <c r="G385" s="382"/>
      <c r="H385" s="382"/>
      <c r="I385" s="382"/>
      <c r="J385" s="382"/>
      <c r="K385" s="382"/>
      <c r="L385" s="382"/>
      <c r="M385" s="382"/>
      <c r="N385" s="382"/>
      <c r="O385" s="382"/>
      <c r="P385" s="382">
        <f>P383-P384</f>
        <v>6.4</v>
      </c>
      <c r="Q385" s="382"/>
      <c r="R385" s="382" t="s">
        <v>29</v>
      </c>
      <c r="S385" s="382"/>
      <c r="T385" s="30"/>
      <c r="U385" s="30"/>
    </row>
    <row r="386" spans="1:21" ht="16.5" thickBot="1">
      <c r="A386" s="33" t="s">
        <v>487</v>
      </c>
      <c r="B386" s="382" t="s">
        <v>395</v>
      </c>
      <c r="C386" s="382"/>
      <c r="D386" s="382"/>
      <c r="E386" s="382"/>
      <c r="F386" s="382"/>
      <c r="G386" s="382"/>
      <c r="H386" s="382"/>
      <c r="I386" s="382"/>
      <c r="J386" s="382"/>
      <c r="K386" s="382"/>
      <c r="L386" s="382"/>
      <c r="M386" s="382"/>
      <c r="N386" s="382"/>
      <c r="O386" s="382"/>
      <c r="P386" s="528">
        <f>((R332*(1+(0.4*(F91))))+((1.273*D280)/(Q34^2)))*(1/(1000*P385))</f>
        <v>9.7628108751724589</v>
      </c>
      <c r="Q386" s="528"/>
      <c r="R386" s="30"/>
      <c r="S386" s="30"/>
      <c r="T386" s="30"/>
      <c r="U386" s="30"/>
    </row>
    <row r="387" spans="1:21" ht="15.75" thickBot="1">
      <c r="A387" s="33"/>
      <c r="B387" s="558" t="str">
        <f>IF(E394&gt;44,"Yes","No")</f>
        <v>No</v>
      </c>
      <c r="C387" s="559"/>
      <c r="D387" s="559"/>
      <c r="E387" s="559"/>
      <c r="F387" s="559"/>
      <c r="G387" s="559"/>
      <c r="H387" s="559"/>
      <c r="I387" s="560"/>
      <c r="J387" s="33"/>
      <c r="K387" s="558" t="str">
        <f>IF(E394&lt;44,"Yes","No")</f>
        <v>Yes</v>
      </c>
      <c r="L387" s="559"/>
      <c r="M387" s="559"/>
      <c r="N387" s="559"/>
      <c r="O387" s="559"/>
      <c r="P387" s="559"/>
      <c r="Q387" s="559"/>
      <c r="R387" s="559"/>
      <c r="S387" s="559"/>
      <c r="T387" s="30"/>
      <c r="U387" s="30"/>
    </row>
    <row r="388" spans="1:21" ht="15">
      <c r="A388" s="33"/>
      <c r="B388" s="109"/>
      <c r="C388" s="33"/>
      <c r="D388" s="33"/>
      <c r="E388" s="33"/>
      <c r="F388" s="33"/>
      <c r="G388" s="33"/>
      <c r="H388" s="33"/>
      <c r="I388" s="106"/>
      <c r="J388" s="33"/>
      <c r="K388" s="109"/>
      <c r="L388" s="33"/>
      <c r="M388" s="33"/>
      <c r="N388" s="33"/>
      <c r="O388" s="33"/>
      <c r="P388" s="116"/>
      <c r="Q388" s="116"/>
      <c r="R388" s="30"/>
      <c r="S388" s="92"/>
      <c r="T388" s="30"/>
      <c r="U388" s="30"/>
    </row>
    <row r="389" spans="1:21" ht="15">
      <c r="A389" s="33"/>
      <c r="B389" s="109"/>
      <c r="C389" s="33"/>
      <c r="D389" s="33"/>
      <c r="E389" s="33"/>
      <c r="F389" s="33"/>
      <c r="G389" s="33"/>
      <c r="H389" s="33"/>
      <c r="I389" s="106"/>
      <c r="J389" s="33"/>
      <c r="K389" s="109"/>
      <c r="L389" s="33"/>
      <c r="M389" s="33"/>
      <c r="N389" s="33"/>
      <c r="O389" s="33"/>
      <c r="P389" s="116"/>
      <c r="Q389" s="116"/>
      <c r="R389" s="30"/>
      <c r="S389" s="92"/>
      <c r="T389" s="30"/>
      <c r="U389" s="30"/>
    </row>
    <row r="390" spans="1:21" ht="15">
      <c r="A390" s="33"/>
      <c r="B390" s="109"/>
      <c r="C390" s="33"/>
      <c r="D390" s="33"/>
      <c r="E390" s="33"/>
      <c r="F390" s="33"/>
      <c r="G390" s="33"/>
      <c r="H390" s="33"/>
      <c r="I390" s="106"/>
      <c r="J390" s="33"/>
      <c r="K390" s="109"/>
      <c r="L390" s="33"/>
      <c r="M390" s="33"/>
      <c r="N390" s="33"/>
      <c r="O390" s="33"/>
      <c r="P390" s="116"/>
      <c r="Q390" s="116"/>
      <c r="R390" s="30"/>
      <c r="S390" s="92"/>
      <c r="T390" s="30"/>
      <c r="U390" s="30"/>
    </row>
    <row r="391" spans="1:21" ht="15">
      <c r="A391" s="33"/>
      <c r="B391" s="109"/>
      <c r="C391" s="33"/>
      <c r="D391" s="33"/>
      <c r="E391" s="33"/>
      <c r="F391" s="33"/>
      <c r="G391" s="33"/>
      <c r="H391" s="33"/>
      <c r="I391" s="106"/>
      <c r="J391" s="33"/>
      <c r="K391" s="109"/>
      <c r="L391" s="33"/>
      <c r="M391" s="33"/>
      <c r="N391" s="33"/>
      <c r="O391" s="33"/>
      <c r="P391" s="116"/>
      <c r="Q391" s="116"/>
      <c r="R391" s="30"/>
      <c r="S391" s="92"/>
      <c r="T391" s="30"/>
      <c r="U391" s="30"/>
    </row>
    <row r="392" spans="1:21" ht="15.75" thickBot="1">
      <c r="A392" s="33"/>
      <c r="B392" s="110"/>
      <c r="C392" s="111"/>
      <c r="D392" s="111"/>
      <c r="E392" s="111"/>
      <c r="F392" s="111"/>
      <c r="G392" s="111"/>
      <c r="H392" s="111"/>
      <c r="I392" s="112"/>
      <c r="J392" s="33"/>
      <c r="K392" s="110"/>
      <c r="L392" s="111"/>
      <c r="M392" s="111"/>
      <c r="N392" s="111"/>
      <c r="O392" s="111"/>
      <c r="P392" s="117"/>
      <c r="Q392" s="117"/>
      <c r="R392" s="93"/>
      <c r="S392" s="94"/>
      <c r="T392" s="30"/>
      <c r="U392" s="30"/>
    </row>
    <row r="393" spans="1:21" ht="15">
      <c r="A393" s="33"/>
      <c r="B393" s="33"/>
      <c r="C393" s="33"/>
      <c r="D393" s="33"/>
      <c r="E393" s="33"/>
      <c r="F393" s="33"/>
      <c r="G393" s="33"/>
      <c r="H393" s="33"/>
      <c r="I393" s="33"/>
      <c r="P393" s="33"/>
      <c r="Q393" s="33"/>
      <c r="R393" s="30"/>
      <c r="S393" s="30"/>
      <c r="T393" s="30"/>
      <c r="U393" s="30"/>
    </row>
    <row r="394" spans="1:21" ht="15">
      <c r="A394" s="33"/>
      <c r="B394" s="382" t="s">
        <v>398</v>
      </c>
      <c r="C394" s="382"/>
      <c r="D394" s="382"/>
      <c r="E394" s="383">
        <f>Q36*Q35*Q34^2/(P383^2)</f>
        <v>23.237500000000001</v>
      </c>
      <c r="F394" s="383"/>
      <c r="G394" s="383"/>
      <c r="H394" s="33"/>
      <c r="I394" s="33"/>
      <c r="P394" s="33"/>
      <c r="Q394" s="33"/>
      <c r="R394" s="30"/>
      <c r="S394" s="30"/>
      <c r="T394" s="30"/>
      <c r="U394" s="30"/>
    </row>
    <row r="395" spans="1:21" ht="15">
      <c r="A395" s="33"/>
      <c r="B395" s="382" t="s">
        <v>488</v>
      </c>
      <c r="C395" s="382"/>
      <c r="D395" s="382"/>
      <c r="E395" s="382">
        <f>P398*0.5</f>
        <v>102.5</v>
      </c>
      <c r="F395" s="382"/>
      <c r="G395" s="382"/>
      <c r="H395" s="33"/>
      <c r="I395" s="33"/>
      <c r="J395" s="33"/>
      <c r="K395" s="33"/>
      <c r="L395" s="33"/>
      <c r="M395" s="33"/>
      <c r="N395" s="33"/>
      <c r="O395" s="33"/>
      <c r="P395" s="33"/>
      <c r="Q395" s="33"/>
      <c r="R395" s="30"/>
      <c r="S395" s="30"/>
      <c r="T395" s="30"/>
      <c r="U395" s="30"/>
    </row>
    <row r="396" spans="1:21" ht="15">
      <c r="A396" s="33"/>
      <c r="B396" s="33"/>
      <c r="C396" s="33"/>
      <c r="D396" s="33"/>
      <c r="E396" s="33"/>
      <c r="F396" s="33"/>
      <c r="G396" s="33"/>
      <c r="H396" s="33"/>
      <c r="I396" s="33"/>
      <c r="J396" s="33"/>
      <c r="K396" s="33"/>
      <c r="L396" s="33"/>
      <c r="M396" s="33"/>
      <c r="N396" s="33"/>
      <c r="O396" s="33"/>
      <c r="P396" s="33"/>
      <c r="Q396" s="33"/>
      <c r="R396" s="30"/>
      <c r="S396" s="30"/>
      <c r="T396" s="30"/>
      <c r="U396" s="30"/>
    </row>
    <row r="397" spans="1:21" ht="15.75">
      <c r="A397" s="38" t="s">
        <v>489</v>
      </c>
      <c r="B397" s="382" t="s">
        <v>396</v>
      </c>
      <c r="C397" s="382"/>
      <c r="D397" s="382"/>
      <c r="E397" s="382"/>
      <c r="F397" s="382"/>
      <c r="G397" s="382"/>
      <c r="H397" s="382"/>
      <c r="I397" s="382"/>
      <c r="J397" s="382"/>
      <c r="K397" s="382"/>
      <c r="L397" s="382"/>
      <c r="M397" s="382"/>
      <c r="N397" s="382"/>
      <c r="O397" s="382"/>
      <c r="P397" s="528">
        <f>((83*P385)/(2.5*Q34))+(7.5*((Q36*Q35)^0.5))</f>
        <v>38.593210845902377</v>
      </c>
      <c r="Q397" s="528"/>
      <c r="R397" s="30"/>
      <c r="S397" s="30"/>
      <c r="T397" s="30"/>
      <c r="U397" s="30"/>
    </row>
    <row r="398" spans="1:21" ht="15">
      <c r="A398" s="38" t="s">
        <v>189</v>
      </c>
      <c r="B398" s="382" t="s">
        <v>397</v>
      </c>
      <c r="C398" s="382"/>
      <c r="D398" s="382"/>
      <c r="E398" s="382"/>
      <c r="F398" s="382"/>
      <c r="G398" s="382"/>
      <c r="H398" s="382"/>
      <c r="I398" s="382"/>
      <c r="J398" s="382"/>
      <c r="K398" s="382"/>
      <c r="L398" s="382"/>
      <c r="M398" s="382"/>
      <c r="N398" s="382"/>
      <c r="O398" s="382"/>
      <c r="P398" s="382">
        <f>N324</f>
        <v>205</v>
      </c>
      <c r="Q398" s="382"/>
      <c r="R398" s="382" t="s">
        <v>68</v>
      </c>
      <c r="S398" s="382"/>
      <c r="T398" s="30"/>
      <c r="U398" s="30"/>
    </row>
    <row r="399" spans="1:21" ht="15">
      <c r="A399" s="26"/>
      <c r="B399" s="519" t="s">
        <v>148</v>
      </c>
      <c r="C399" s="519"/>
      <c r="D399" s="519"/>
      <c r="E399" s="519"/>
      <c r="F399" s="519"/>
      <c r="G399" s="519"/>
      <c r="H399" s="519"/>
      <c r="I399" s="519"/>
      <c r="J399" s="519"/>
      <c r="K399" s="519"/>
      <c r="L399" s="519"/>
      <c r="M399" s="519"/>
      <c r="N399" s="519"/>
      <c r="O399" s="519"/>
      <c r="P399" s="519"/>
      <c r="Q399" s="519"/>
      <c r="R399" s="519"/>
      <c r="S399" s="519"/>
      <c r="T399" s="30"/>
      <c r="U399" s="30"/>
    </row>
    <row r="400" spans="1:21" ht="15">
      <c r="A400" s="30"/>
      <c r="B400" s="378" t="s">
        <v>399</v>
      </c>
      <c r="C400" s="378"/>
      <c r="D400" s="378"/>
      <c r="E400" s="378"/>
      <c r="F400" s="378" t="str">
        <f>IF(P397&lt;E395,"ok","Not Ok")</f>
        <v>ok</v>
      </c>
      <c r="G400" s="378"/>
      <c r="H400" s="378"/>
      <c r="I400" s="378"/>
      <c r="J400" s="378"/>
      <c r="K400" s="378"/>
      <c r="L400" s="378"/>
      <c r="M400" s="378"/>
      <c r="N400" s="378"/>
      <c r="O400" s="378"/>
      <c r="P400" s="378"/>
      <c r="Q400" s="378"/>
      <c r="R400" s="30"/>
      <c r="S400" s="30"/>
      <c r="T400" s="30"/>
      <c r="U400" s="30"/>
    </row>
    <row r="401" spans="1:21" ht="15">
      <c r="A401" s="30"/>
      <c r="B401" s="378"/>
      <c r="C401" s="378"/>
      <c r="D401" s="378"/>
      <c r="E401" s="378"/>
      <c r="F401" s="378"/>
      <c r="G401" s="378"/>
      <c r="H401" s="378"/>
      <c r="I401" s="378"/>
      <c r="J401" s="378"/>
      <c r="K401" s="378"/>
      <c r="L401" s="378"/>
      <c r="M401" s="378"/>
      <c r="N401" s="378"/>
      <c r="O401" s="378"/>
      <c r="P401" s="378"/>
      <c r="Q401" s="378"/>
      <c r="R401" s="30"/>
      <c r="S401" s="30"/>
      <c r="T401" s="30"/>
      <c r="U401" s="30"/>
    </row>
    <row r="402" spans="1:21" ht="15">
      <c r="A402" s="30"/>
      <c r="B402" s="378" t="s">
        <v>400</v>
      </c>
      <c r="C402" s="378"/>
      <c r="D402" s="378"/>
      <c r="E402" s="378"/>
      <c r="F402" s="378" t="str">
        <f>IF(P386&lt;P397,"ok","Not Ok")</f>
        <v>ok</v>
      </c>
      <c r="G402" s="378"/>
      <c r="H402" s="378"/>
      <c r="I402" s="378"/>
      <c r="J402" s="378"/>
      <c r="K402" s="378"/>
      <c r="L402" s="378"/>
      <c r="M402" s="378"/>
      <c r="N402" s="378"/>
      <c r="O402" s="378"/>
      <c r="P402" s="378"/>
      <c r="Q402" s="378"/>
      <c r="R402" s="533"/>
      <c r="S402" s="533"/>
      <c r="T402" s="30"/>
      <c r="U402" s="30"/>
    </row>
    <row r="403" spans="1:21" ht="15">
      <c r="A403" s="30"/>
      <c r="B403" s="378"/>
      <c r="C403" s="378"/>
      <c r="D403" s="378"/>
      <c r="E403" s="378"/>
      <c r="F403" s="378"/>
      <c r="G403" s="378"/>
      <c r="H403" s="378"/>
      <c r="I403" s="378"/>
      <c r="J403" s="378"/>
      <c r="K403" s="378"/>
      <c r="L403" s="378"/>
      <c r="M403" s="378"/>
      <c r="N403" s="378"/>
      <c r="O403" s="378"/>
      <c r="P403" s="378"/>
      <c r="Q403" s="378"/>
      <c r="R403" s="533"/>
      <c r="S403" s="533"/>
      <c r="T403" s="30"/>
      <c r="U403" s="30"/>
    </row>
    <row r="404" spans="1:21" ht="15">
      <c r="A404" s="30"/>
      <c r="B404" s="26"/>
      <c r="C404" s="26"/>
      <c r="D404" s="26"/>
      <c r="E404" s="26"/>
      <c r="F404" s="26"/>
      <c r="G404" s="26"/>
      <c r="H404" s="26"/>
      <c r="I404" s="26"/>
      <c r="J404" s="26"/>
      <c r="K404" s="26"/>
      <c r="L404" s="26"/>
      <c r="M404" s="26"/>
      <c r="N404" s="26"/>
      <c r="O404" s="26"/>
      <c r="P404" s="26"/>
      <c r="Q404" s="26"/>
      <c r="R404" s="101"/>
      <c r="S404" s="101"/>
      <c r="T404" s="30"/>
      <c r="U404" s="30"/>
    </row>
    <row r="405" spans="1:21" ht="15">
      <c r="A405" s="30"/>
      <c r="B405" s="296" t="s">
        <v>401</v>
      </c>
      <c r="C405" s="296"/>
      <c r="D405" s="296"/>
      <c r="E405" s="296"/>
      <c r="F405" s="296"/>
      <c r="G405" s="296"/>
      <c r="H405" s="296"/>
      <c r="I405" s="296"/>
      <c r="J405" s="296"/>
      <c r="K405" s="296"/>
      <c r="L405" s="296"/>
      <c r="M405" s="296"/>
      <c r="N405" s="296"/>
      <c r="O405" s="296"/>
      <c r="P405" s="296"/>
      <c r="Q405" s="296"/>
      <c r="R405" s="296"/>
      <c r="S405" s="296"/>
      <c r="T405" s="30"/>
      <c r="U405" s="30"/>
    </row>
    <row r="406" spans="1:21" ht="15">
      <c r="A406" s="30"/>
      <c r="B406" s="296"/>
      <c r="C406" s="296"/>
      <c r="D406" s="296"/>
      <c r="E406" s="296"/>
      <c r="F406" s="296"/>
      <c r="G406" s="296"/>
      <c r="H406" s="296"/>
      <c r="I406" s="296"/>
      <c r="J406" s="296"/>
      <c r="K406" s="296"/>
      <c r="L406" s="296"/>
      <c r="M406" s="296"/>
      <c r="N406" s="296"/>
      <c r="O406" s="296"/>
      <c r="P406" s="296"/>
      <c r="Q406" s="296"/>
      <c r="R406" s="296"/>
      <c r="S406" s="296"/>
      <c r="T406" s="30"/>
      <c r="U406" s="30"/>
    </row>
    <row r="407" spans="1:21" ht="15">
      <c r="A407" s="30"/>
      <c r="B407" s="557" t="s">
        <v>402</v>
      </c>
      <c r="C407" s="557"/>
      <c r="D407" s="557"/>
      <c r="E407" s="557"/>
      <c r="F407" s="557"/>
      <c r="G407" s="557"/>
      <c r="H407" s="557"/>
      <c r="I407" s="557"/>
      <c r="J407" s="557"/>
      <c r="K407" s="557"/>
      <c r="L407" s="557"/>
      <c r="M407" s="557"/>
      <c r="N407" s="557"/>
      <c r="O407" s="557"/>
      <c r="P407" s="557"/>
      <c r="Q407" s="557"/>
      <c r="R407" s="557"/>
      <c r="S407" s="557"/>
      <c r="T407" s="30"/>
      <c r="U407" s="30"/>
    </row>
    <row r="408" spans="1:21" ht="15">
      <c r="A408" s="30"/>
      <c r="B408" s="557"/>
      <c r="C408" s="557"/>
      <c r="D408" s="557"/>
      <c r="E408" s="557"/>
      <c r="F408" s="557"/>
      <c r="G408" s="557"/>
      <c r="H408" s="557"/>
      <c r="I408" s="557"/>
      <c r="J408" s="557"/>
      <c r="K408" s="557"/>
      <c r="L408" s="557"/>
      <c r="M408" s="557"/>
      <c r="N408" s="557"/>
      <c r="O408" s="557"/>
      <c r="P408" s="557"/>
      <c r="Q408" s="557"/>
      <c r="R408" s="557"/>
      <c r="S408" s="557"/>
      <c r="T408" s="30"/>
      <c r="U408" s="30"/>
    </row>
    <row r="409" spans="1:21" ht="15">
      <c r="A409" s="30"/>
      <c r="B409" s="382"/>
      <c r="C409" s="382"/>
      <c r="D409" s="382"/>
      <c r="E409" s="382"/>
      <c r="F409" s="382"/>
      <c r="G409" s="382"/>
      <c r="H409" s="382"/>
      <c r="I409" s="382"/>
      <c r="J409" s="382"/>
      <c r="K409" s="382"/>
      <c r="L409" s="382"/>
      <c r="M409" s="382"/>
      <c r="N409" s="382"/>
      <c r="O409" s="30"/>
      <c r="P409" s="30"/>
      <c r="Q409" s="30"/>
      <c r="R409" s="30"/>
      <c r="S409" s="30"/>
      <c r="T409" s="30"/>
      <c r="U409" s="30"/>
    </row>
    <row r="410" spans="1:21" ht="15">
      <c r="A410" s="30"/>
      <c r="B410" s="382"/>
      <c r="C410" s="382"/>
      <c r="D410" s="382"/>
      <c r="E410" s="382"/>
      <c r="F410" s="382"/>
      <c r="G410" s="382"/>
      <c r="H410" s="382"/>
      <c r="I410" s="382"/>
      <c r="J410" s="382"/>
      <c r="K410" s="382"/>
      <c r="L410" s="382"/>
      <c r="M410" s="382"/>
      <c r="N410" s="382"/>
      <c r="O410" s="30"/>
      <c r="P410" s="30"/>
      <c r="Q410" s="30"/>
      <c r="R410" s="30"/>
      <c r="S410" s="30"/>
      <c r="T410" s="30"/>
      <c r="U410" s="30"/>
    </row>
    <row r="411" spans="1:21" ht="15">
      <c r="A411" s="30"/>
      <c r="B411" s="378" t="s">
        <v>403</v>
      </c>
      <c r="C411" s="378"/>
      <c r="D411" s="378"/>
      <c r="E411" s="378"/>
      <c r="F411" s="378"/>
      <c r="G411" s="378"/>
      <c r="H411" s="378"/>
      <c r="I411" s="378"/>
      <c r="J411" s="378"/>
      <c r="K411" s="378"/>
      <c r="L411" s="378">
        <v>0.4</v>
      </c>
      <c r="M411" s="378"/>
      <c r="N411" s="31"/>
      <c r="O411" s="30"/>
      <c r="P411" s="30"/>
      <c r="Q411" s="30"/>
      <c r="R411" s="30"/>
      <c r="S411" s="30"/>
      <c r="T411" s="30"/>
      <c r="U411" s="30"/>
    </row>
    <row r="412" spans="1:21" ht="15">
      <c r="A412" s="30"/>
      <c r="B412" s="378"/>
      <c r="C412" s="378"/>
      <c r="D412" s="378"/>
      <c r="E412" s="378"/>
      <c r="F412" s="378"/>
      <c r="G412" s="378"/>
      <c r="H412" s="378"/>
      <c r="I412" s="378"/>
      <c r="J412" s="378"/>
      <c r="K412" s="378"/>
      <c r="L412" s="378"/>
      <c r="M412" s="378"/>
      <c r="N412" s="31"/>
      <c r="O412" s="30"/>
      <c r="P412" s="30"/>
      <c r="Q412" s="30"/>
      <c r="R412" s="30"/>
      <c r="S412" s="30"/>
      <c r="T412" s="30"/>
      <c r="U412" s="30"/>
    </row>
    <row r="413" spans="1:21" ht="15">
      <c r="A413" s="30"/>
      <c r="B413" s="378" t="s">
        <v>490</v>
      </c>
      <c r="C413" s="378"/>
      <c r="D413" s="378"/>
      <c r="E413" s="378"/>
      <c r="F413" s="378"/>
      <c r="G413" s="378"/>
      <c r="H413" s="378"/>
      <c r="I413" s="563">
        <f>(L411)*(R161+R163+R165+R167)*(1-(0.4*F91))</f>
        <v>4119373.1655417648</v>
      </c>
      <c r="J413" s="563"/>
      <c r="K413" s="563"/>
      <c r="L413" s="563"/>
      <c r="M413" s="563"/>
      <c r="N413" s="30"/>
      <c r="O413" s="30"/>
      <c r="P413" s="30"/>
      <c r="Q413" s="30"/>
      <c r="R413" s="30"/>
      <c r="S413" s="30"/>
      <c r="T413" s="30"/>
      <c r="U413" s="30"/>
    </row>
    <row r="414" spans="1:21" ht="15">
      <c r="A414" s="30"/>
      <c r="B414" s="378"/>
      <c r="C414" s="378"/>
      <c r="D414" s="378"/>
      <c r="E414" s="378"/>
      <c r="F414" s="378"/>
      <c r="G414" s="378"/>
      <c r="H414" s="378"/>
      <c r="I414" s="563"/>
      <c r="J414" s="563"/>
      <c r="K414" s="563"/>
      <c r="L414" s="563"/>
      <c r="M414" s="563"/>
      <c r="N414" s="30"/>
      <c r="O414" s="30"/>
      <c r="P414" s="30"/>
      <c r="Q414" s="30"/>
      <c r="R414" s="30"/>
      <c r="S414" s="30"/>
      <c r="T414" s="30"/>
      <c r="U414" s="30"/>
    </row>
    <row r="415" spans="1:21" ht="15">
      <c r="A415" s="30"/>
      <c r="B415" s="519" t="s">
        <v>148</v>
      </c>
      <c r="C415" s="519"/>
      <c r="D415" s="519"/>
      <c r="E415" s="519"/>
      <c r="F415" s="519"/>
      <c r="G415" s="519"/>
      <c r="H415" s="519"/>
      <c r="I415" s="519"/>
      <c r="J415" s="519"/>
      <c r="K415" s="519"/>
      <c r="L415" s="519"/>
      <c r="M415" s="519"/>
      <c r="N415" s="519"/>
      <c r="O415" s="519"/>
      <c r="P415" s="519"/>
      <c r="Q415" s="519"/>
      <c r="R415" s="519"/>
      <c r="S415" s="519"/>
      <c r="T415" s="30"/>
      <c r="U415" s="30"/>
    </row>
    <row r="416" spans="1:21" ht="15">
      <c r="A416" s="30"/>
      <c r="B416" s="534" t="str">
        <f>IF(I413&gt;L269,"Vs &gt; V so Tank is stable against Seismic Sliding","Vs &lt; V so Tank is not stable against Seismic Sliding")</f>
        <v>Vs &gt; V so Tank is stable against Seismic Sliding</v>
      </c>
      <c r="C416" s="534"/>
      <c r="D416" s="534"/>
      <c r="E416" s="534"/>
      <c r="F416" s="534"/>
      <c r="G416" s="534"/>
      <c r="H416" s="534"/>
      <c r="I416" s="534"/>
      <c r="J416" s="534"/>
      <c r="K416" s="534"/>
      <c r="L416" s="534"/>
      <c r="M416" s="534"/>
      <c r="N416" s="534"/>
      <c r="O416" s="534"/>
      <c r="P416" s="534"/>
      <c r="Q416" s="534"/>
      <c r="R416" s="534"/>
      <c r="S416" s="534"/>
      <c r="T416" s="30"/>
      <c r="U416" s="30"/>
    </row>
    <row r="417" spans="1:22" ht="15">
      <c r="A417" s="30"/>
      <c r="B417" s="534"/>
      <c r="C417" s="534"/>
      <c r="D417" s="534"/>
      <c r="E417" s="534"/>
      <c r="F417" s="534"/>
      <c r="G417" s="534"/>
      <c r="H417" s="534"/>
      <c r="I417" s="534"/>
      <c r="J417" s="534"/>
      <c r="K417" s="534"/>
      <c r="L417" s="534"/>
      <c r="M417" s="534"/>
      <c r="N417" s="534"/>
      <c r="O417" s="534"/>
      <c r="P417" s="534"/>
      <c r="Q417" s="534"/>
      <c r="R417" s="534"/>
      <c r="S417" s="534"/>
      <c r="T417" s="30"/>
      <c r="U417" s="30"/>
    </row>
    <row r="418" spans="1:22" ht="15">
      <c r="A418" s="30"/>
      <c r="B418" s="296" t="s">
        <v>404</v>
      </c>
      <c r="C418" s="296"/>
      <c r="D418" s="296"/>
      <c r="E418" s="296"/>
      <c r="F418" s="296"/>
      <c r="G418" s="296"/>
      <c r="H418" s="296"/>
      <c r="I418" s="296"/>
      <c r="J418" s="296"/>
      <c r="K418" s="296"/>
      <c r="L418" s="296"/>
      <c r="M418" s="296"/>
      <c r="N418" s="296"/>
      <c r="O418" s="296"/>
      <c r="P418" s="296"/>
      <c r="Q418" s="296"/>
      <c r="R418" s="296"/>
      <c r="S418" s="296"/>
      <c r="T418" s="30"/>
      <c r="U418" s="30"/>
    </row>
    <row r="419" spans="1:22" ht="15">
      <c r="A419" s="30"/>
      <c r="B419" s="296"/>
      <c r="C419" s="296"/>
      <c r="D419" s="296"/>
      <c r="E419" s="296"/>
      <c r="F419" s="296"/>
      <c r="G419" s="296"/>
      <c r="H419" s="296"/>
      <c r="I419" s="296"/>
      <c r="J419" s="296"/>
      <c r="K419" s="296"/>
      <c r="L419" s="296"/>
      <c r="M419" s="296"/>
      <c r="N419" s="296"/>
      <c r="O419" s="296"/>
      <c r="P419" s="296"/>
      <c r="Q419" s="296"/>
      <c r="R419" s="296"/>
      <c r="S419" s="296"/>
      <c r="T419" s="30"/>
      <c r="U419" s="30"/>
    </row>
    <row r="420" spans="1:22" ht="15">
      <c r="A420" s="30"/>
      <c r="B420" s="379" t="s">
        <v>491</v>
      </c>
      <c r="C420" s="379"/>
      <c r="D420" s="379"/>
      <c r="E420" s="379"/>
      <c r="F420" s="379"/>
      <c r="G420" s="379"/>
      <c r="H420" s="379"/>
      <c r="I420" s="379"/>
      <c r="J420" s="379"/>
      <c r="K420" s="379"/>
      <c r="L420" s="31"/>
      <c r="M420" s="31"/>
      <c r="N420" s="378" t="s">
        <v>523</v>
      </c>
      <c r="O420" s="521">
        <f>(2*L269)/(PI()*Q34)</f>
        <v>96178.070378218181</v>
      </c>
      <c r="P420" s="521"/>
      <c r="Q420" s="378" t="s">
        <v>247</v>
      </c>
      <c r="R420" s="378"/>
      <c r="S420" s="30"/>
      <c r="T420" s="30"/>
      <c r="U420" s="30"/>
    </row>
    <row r="421" spans="1:22" ht="15">
      <c r="A421" s="30"/>
      <c r="B421" s="379"/>
      <c r="C421" s="379"/>
      <c r="D421" s="379"/>
      <c r="E421" s="379"/>
      <c r="F421" s="379"/>
      <c r="G421" s="379"/>
      <c r="H421" s="379"/>
      <c r="I421" s="379"/>
      <c r="J421" s="379"/>
      <c r="K421" s="379"/>
      <c r="L421" s="31"/>
      <c r="M421" s="31"/>
      <c r="N421" s="378"/>
      <c r="O421" s="521"/>
      <c r="P421" s="521"/>
      <c r="Q421" s="378"/>
      <c r="R421" s="378"/>
      <c r="S421" s="30"/>
      <c r="T421" s="30"/>
      <c r="U421" s="30"/>
    </row>
    <row r="422" spans="1:22" ht="15">
      <c r="A422" s="30"/>
      <c r="B422" s="275" t="s">
        <v>405</v>
      </c>
      <c r="C422" s="275"/>
      <c r="D422" s="275"/>
      <c r="E422" s="275"/>
      <c r="F422" s="275"/>
      <c r="G422" s="275"/>
      <c r="H422" s="275"/>
      <c r="I422" s="275"/>
      <c r="J422" s="275"/>
      <c r="K422" s="275"/>
      <c r="L422" s="380">
        <f>(O420/(P383-P384))/1000</f>
        <v>15.027823496596589</v>
      </c>
      <c r="M422" s="380"/>
      <c r="N422" s="378" t="s">
        <v>68</v>
      </c>
      <c r="O422" s="378"/>
      <c r="P422" s="30"/>
      <c r="Q422" s="30"/>
      <c r="R422" s="30"/>
      <c r="S422" s="30"/>
      <c r="T422" s="30"/>
      <c r="U422" s="30"/>
    </row>
    <row r="423" spans="1:22" ht="15">
      <c r="A423" s="30"/>
      <c r="B423" s="275"/>
      <c r="C423" s="275"/>
      <c r="D423" s="275"/>
      <c r="E423" s="275"/>
      <c r="F423" s="275"/>
      <c r="G423" s="275"/>
      <c r="H423" s="275"/>
      <c r="I423" s="275"/>
      <c r="J423" s="275"/>
      <c r="K423" s="275"/>
      <c r="L423" s="380"/>
      <c r="M423" s="380"/>
      <c r="N423" s="378"/>
      <c r="O423" s="378"/>
      <c r="P423" s="30"/>
      <c r="Q423" s="30"/>
      <c r="R423" s="30"/>
      <c r="S423" s="30"/>
      <c r="T423" s="30"/>
      <c r="U423" s="30"/>
    </row>
    <row r="424" spans="1:22" ht="15">
      <c r="A424" s="30"/>
      <c r="B424" s="519" t="s">
        <v>148</v>
      </c>
      <c r="C424" s="519"/>
      <c r="D424" s="519"/>
      <c r="E424" s="519"/>
      <c r="F424" s="519"/>
      <c r="G424" s="519"/>
      <c r="H424" s="519"/>
      <c r="I424" s="519"/>
      <c r="J424" s="519"/>
      <c r="K424" s="519"/>
      <c r="L424" s="519"/>
      <c r="M424" s="519"/>
      <c r="N424" s="519"/>
      <c r="O424" s="519"/>
      <c r="P424" s="519"/>
      <c r="Q424" s="519"/>
      <c r="R424" s="519"/>
      <c r="S424" s="519"/>
      <c r="T424" s="30"/>
      <c r="U424" s="30"/>
    </row>
    <row r="425" spans="1:22" ht="15">
      <c r="A425" s="30"/>
      <c r="B425" s="449" t="str">
        <f>IF(L422&lt;0.8*P398,"Since Shear Stress is Less than Shear Allowable Stress, So Local Shear Transfer is ok","Since Shear Stress is not  Less than Shear Allowable Stress, So Local Shear Transfer is not ok.")</f>
        <v>Since Shear Stress is Less than Shear Allowable Stress, So Local Shear Transfer is ok</v>
      </c>
      <c r="C425" s="449"/>
      <c r="D425" s="449"/>
      <c r="E425" s="449"/>
      <c r="F425" s="449"/>
      <c r="G425" s="449"/>
      <c r="H425" s="449"/>
      <c r="I425" s="449"/>
      <c r="J425" s="449"/>
      <c r="K425" s="449"/>
      <c r="L425" s="449"/>
      <c r="M425" s="449"/>
      <c r="N425" s="449"/>
      <c r="O425" s="449"/>
      <c r="P425" s="449"/>
      <c r="Q425" s="449"/>
      <c r="R425" s="449"/>
      <c r="S425" s="449"/>
      <c r="T425" s="30"/>
      <c r="U425" s="30"/>
    </row>
    <row r="426" spans="1:22" ht="15">
      <c r="A426" s="30"/>
      <c r="B426" s="449"/>
      <c r="C426" s="449"/>
      <c r="D426" s="449"/>
      <c r="E426" s="449"/>
      <c r="F426" s="449"/>
      <c r="G426" s="449"/>
      <c r="H426" s="449"/>
      <c r="I426" s="449"/>
      <c r="J426" s="449"/>
      <c r="K426" s="449"/>
      <c r="L426" s="449"/>
      <c r="M426" s="449"/>
      <c r="N426" s="449"/>
      <c r="O426" s="449"/>
      <c r="P426" s="449"/>
      <c r="Q426" s="449"/>
      <c r="R426" s="449"/>
      <c r="S426" s="449"/>
      <c r="T426" s="30"/>
      <c r="U426" s="30"/>
    </row>
    <row r="427" spans="1:22" ht="15">
      <c r="A427" s="30"/>
      <c r="B427" s="449"/>
      <c r="C427" s="449"/>
      <c r="D427" s="449"/>
      <c r="E427" s="449"/>
      <c r="F427" s="449"/>
      <c r="G427" s="449"/>
      <c r="H427" s="449"/>
      <c r="I427" s="449"/>
      <c r="J427" s="449"/>
      <c r="K427" s="449"/>
      <c r="L427" s="449"/>
      <c r="M427" s="449"/>
      <c r="N427" s="449"/>
      <c r="O427" s="449"/>
      <c r="P427" s="449"/>
      <c r="Q427" s="449"/>
      <c r="R427" s="449"/>
      <c r="S427" s="449"/>
      <c r="T427" s="30"/>
      <c r="U427" s="30"/>
    </row>
    <row r="428" spans="1:22" ht="15">
      <c r="A428" s="30"/>
      <c r="B428" s="30"/>
      <c r="C428" s="30"/>
      <c r="D428" s="30"/>
      <c r="E428" s="30"/>
      <c r="F428" s="30"/>
      <c r="G428" s="30"/>
      <c r="H428" s="30"/>
      <c r="I428" s="30"/>
      <c r="J428" s="30"/>
      <c r="K428" s="30"/>
      <c r="L428" s="30"/>
      <c r="M428" s="30"/>
      <c r="N428" s="30"/>
      <c r="O428" s="30"/>
      <c r="P428" s="30"/>
      <c r="Q428" s="30"/>
      <c r="R428" s="30"/>
      <c r="S428" s="30"/>
      <c r="T428" s="30"/>
      <c r="U428" s="30"/>
    </row>
    <row r="430" spans="1:22" ht="15" customHeight="1" thickBot="1"/>
    <row r="431" spans="1:22" ht="15" customHeight="1">
      <c r="A431" s="229"/>
      <c r="B431" s="230"/>
      <c r="C431" s="230"/>
      <c r="D431" s="230"/>
      <c r="E431" s="231"/>
      <c r="F431" s="158" t="str">
        <f>F364</f>
        <v>نگهداشت و افزایش تولید میدان نفتی بینک
سطح الارض و ابنیه تحت الارض 
خرید مخازن ذخیره گاز ایستگاه تقویت فشار گاز بینک 
(قرارداد BK-HD-GCS-CO-0026_00 )</v>
      </c>
      <c r="G431" s="159"/>
      <c r="H431" s="159"/>
      <c r="I431" s="159"/>
      <c r="J431" s="159"/>
      <c r="K431" s="159"/>
      <c r="L431" s="159"/>
      <c r="M431" s="159"/>
      <c r="N431" s="159"/>
      <c r="O431" s="159"/>
      <c r="P431" s="159"/>
      <c r="Q431" s="160"/>
      <c r="R431" s="238"/>
      <c r="S431" s="238"/>
      <c r="T431" s="238"/>
      <c r="U431" s="238"/>
      <c r="V431" s="239"/>
    </row>
    <row r="432" spans="1:22">
      <c r="A432" s="232"/>
      <c r="B432" s="233"/>
      <c r="C432" s="233"/>
      <c r="D432" s="233"/>
      <c r="E432" s="234"/>
      <c r="F432" s="161"/>
      <c r="G432" s="162"/>
      <c r="H432" s="162"/>
      <c r="I432" s="162"/>
      <c r="J432" s="162"/>
      <c r="K432" s="162"/>
      <c r="L432" s="162"/>
      <c r="M432" s="162"/>
      <c r="N432" s="162"/>
      <c r="O432" s="162"/>
      <c r="P432" s="162"/>
      <c r="Q432" s="163"/>
      <c r="R432" s="177"/>
      <c r="S432" s="177"/>
      <c r="T432" s="177"/>
      <c r="U432" s="177"/>
      <c r="V432" s="240"/>
    </row>
    <row r="433" spans="1:22">
      <c r="A433" s="232"/>
      <c r="B433" s="233"/>
      <c r="C433" s="233"/>
      <c r="D433" s="233"/>
      <c r="E433" s="234"/>
      <c r="F433" s="161"/>
      <c r="G433" s="162"/>
      <c r="H433" s="162"/>
      <c r="I433" s="162"/>
      <c r="J433" s="162"/>
      <c r="K433" s="162"/>
      <c r="L433" s="162"/>
      <c r="M433" s="162"/>
      <c r="N433" s="162"/>
      <c r="O433" s="162"/>
      <c r="P433" s="162"/>
      <c r="Q433" s="163"/>
      <c r="R433" s="177"/>
      <c r="S433" s="177"/>
      <c r="T433" s="177"/>
      <c r="U433" s="177"/>
      <c r="V433" s="240"/>
    </row>
    <row r="434" spans="1:22">
      <c r="A434" s="232"/>
      <c r="B434" s="233"/>
      <c r="C434" s="233"/>
      <c r="D434" s="233"/>
      <c r="E434" s="234"/>
      <c r="F434" s="161"/>
      <c r="G434" s="162"/>
      <c r="H434" s="162"/>
      <c r="I434" s="162"/>
      <c r="J434" s="162"/>
      <c r="K434" s="162"/>
      <c r="L434" s="162"/>
      <c r="M434" s="162"/>
      <c r="N434" s="162"/>
      <c r="O434" s="162"/>
      <c r="P434" s="162"/>
      <c r="Q434" s="163"/>
      <c r="R434" s="177"/>
      <c r="S434" s="177"/>
      <c r="T434" s="177"/>
      <c r="U434" s="177"/>
      <c r="V434" s="240"/>
    </row>
    <row r="435" spans="1:22">
      <c r="A435" s="232"/>
      <c r="B435" s="233"/>
      <c r="C435" s="233"/>
      <c r="D435" s="233"/>
      <c r="E435" s="234"/>
      <c r="F435" s="164"/>
      <c r="G435" s="165"/>
      <c r="H435" s="165"/>
      <c r="I435" s="165"/>
      <c r="J435" s="165"/>
      <c r="K435" s="165"/>
      <c r="L435" s="165"/>
      <c r="M435" s="165"/>
      <c r="N435" s="165"/>
      <c r="O435" s="165"/>
      <c r="P435" s="165"/>
      <c r="Q435" s="166"/>
      <c r="R435" s="177"/>
      <c r="S435" s="177"/>
      <c r="T435" s="177"/>
      <c r="U435" s="177"/>
      <c r="V435" s="240"/>
    </row>
    <row r="436" spans="1:22" ht="21.6" customHeight="1">
      <c r="A436" s="235"/>
      <c r="B436" s="236"/>
      <c r="C436" s="236"/>
      <c r="D436" s="236"/>
      <c r="E436" s="237"/>
      <c r="F436" s="265" t="str">
        <f>F369</f>
        <v>Mechanical Calculation Book For Fire Water Tanks (TK-2301A/B)</v>
      </c>
      <c r="G436" s="266"/>
      <c r="H436" s="266"/>
      <c r="I436" s="266"/>
      <c r="J436" s="266"/>
      <c r="K436" s="266"/>
      <c r="L436" s="266"/>
      <c r="M436" s="266"/>
      <c r="N436" s="266"/>
      <c r="O436" s="266"/>
      <c r="P436" s="266"/>
      <c r="Q436" s="267"/>
      <c r="R436" s="177"/>
      <c r="S436" s="177"/>
      <c r="T436" s="177"/>
      <c r="U436" s="177"/>
      <c r="V436" s="240"/>
    </row>
    <row r="437" spans="1:22" ht="16.149999999999999" customHeight="1">
      <c r="A437" s="167" t="s">
        <v>743</v>
      </c>
      <c r="B437" s="168"/>
      <c r="C437" s="168"/>
      <c r="D437" s="168"/>
      <c r="E437" s="169"/>
      <c r="F437" s="125" t="s">
        <v>744</v>
      </c>
      <c r="G437" s="170" t="s">
        <v>745</v>
      </c>
      <c r="H437" s="171"/>
      <c r="I437" s="170" t="s">
        <v>746</v>
      </c>
      <c r="J437" s="171"/>
      <c r="K437" s="170" t="s">
        <v>747</v>
      </c>
      <c r="L437" s="171"/>
      <c r="M437" s="125" t="s">
        <v>748</v>
      </c>
      <c r="N437" s="170" t="s">
        <v>749</v>
      </c>
      <c r="O437" s="171"/>
      <c r="P437" s="125" t="s">
        <v>750</v>
      </c>
      <c r="Q437" s="126" t="s">
        <v>751</v>
      </c>
      <c r="R437" s="172">
        <f>R370</f>
        <v>29</v>
      </c>
      <c r="S437" s="174" t="s">
        <v>752</v>
      </c>
      <c r="T437" s="263">
        <f>T370+1</f>
        <v>24</v>
      </c>
      <c r="U437" s="168" t="s">
        <v>753</v>
      </c>
      <c r="V437" s="188"/>
    </row>
    <row r="438" spans="1:22" ht="20.45" customHeight="1" thickBot="1">
      <c r="A438" s="191" t="s">
        <v>754</v>
      </c>
      <c r="B438" s="175"/>
      <c r="C438" s="175"/>
      <c r="D438" s="175"/>
      <c r="E438" s="192"/>
      <c r="F438" s="132" t="s">
        <v>755</v>
      </c>
      <c r="G438" s="193" t="s">
        <v>756</v>
      </c>
      <c r="H438" s="193"/>
      <c r="I438" s="193" t="s">
        <v>878</v>
      </c>
      <c r="J438" s="193"/>
      <c r="K438" s="193">
        <v>120</v>
      </c>
      <c r="L438" s="193"/>
      <c r="M438" s="132" t="s">
        <v>757</v>
      </c>
      <c r="N438" s="193" t="s">
        <v>879</v>
      </c>
      <c r="O438" s="193"/>
      <c r="P438" s="142" t="s">
        <v>881</v>
      </c>
      <c r="Q438" s="133" t="str">
        <f>Q371</f>
        <v>V01</v>
      </c>
      <c r="R438" s="173"/>
      <c r="S438" s="175"/>
      <c r="T438" s="264"/>
      <c r="U438" s="189"/>
      <c r="V438" s="190"/>
    </row>
    <row r="439" spans="1:22" ht="18.75" customHeight="1">
      <c r="A439" s="296" t="s">
        <v>406</v>
      </c>
      <c r="B439" s="296"/>
      <c r="C439" s="296"/>
      <c r="D439" s="296"/>
      <c r="E439" s="296"/>
      <c r="F439" s="296"/>
      <c r="G439" s="296"/>
      <c r="H439" s="296"/>
      <c r="I439" s="296"/>
      <c r="J439" s="296"/>
      <c r="K439" s="296"/>
      <c r="L439" s="296"/>
      <c r="M439" s="296"/>
      <c r="N439" s="296"/>
      <c r="O439" s="30"/>
      <c r="P439" s="30"/>
      <c r="Q439" s="30"/>
      <c r="R439" s="30"/>
      <c r="S439" s="30"/>
      <c r="T439" s="30"/>
      <c r="U439" s="30"/>
    </row>
    <row r="440" spans="1:22" ht="18.75" customHeight="1">
      <c r="A440" s="296"/>
      <c r="B440" s="296"/>
      <c r="C440" s="296"/>
      <c r="D440" s="296"/>
      <c r="E440" s="296"/>
      <c r="F440" s="296"/>
      <c r="G440" s="296"/>
      <c r="H440" s="296"/>
      <c r="I440" s="296"/>
      <c r="J440" s="296"/>
      <c r="K440" s="296"/>
      <c r="L440" s="296"/>
      <c r="M440" s="296"/>
      <c r="N440" s="296"/>
      <c r="O440" s="30"/>
      <c r="P440" s="30"/>
      <c r="Q440" s="30"/>
      <c r="R440" s="30"/>
      <c r="S440" s="30"/>
      <c r="T440" s="30"/>
      <c r="U440" s="30"/>
    </row>
    <row r="441" spans="1:22" ht="18.75" customHeight="1">
      <c r="A441" s="532" t="s">
        <v>697</v>
      </c>
      <c r="B441" s="532"/>
      <c r="C441" s="532"/>
      <c r="D441" s="532"/>
      <c r="E441" s="532"/>
      <c r="F441" s="532"/>
      <c r="G441" s="532"/>
      <c r="H441" s="532"/>
      <c r="I441" s="532"/>
      <c r="J441" s="532"/>
      <c r="K441" s="532"/>
      <c r="L441" s="532"/>
      <c r="M441" s="532"/>
      <c r="N441" s="532"/>
      <c r="O441" s="532"/>
      <c r="P441" s="532"/>
      <c r="Q441" s="532"/>
      <c r="R441" s="532"/>
      <c r="S441" s="532"/>
      <c r="T441" s="532"/>
      <c r="U441" s="30"/>
    </row>
    <row r="442" spans="1:22" ht="18.75" customHeight="1">
      <c r="A442" s="532"/>
      <c r="B442" s="532"/>
      <c r="C442" s="532"/>
      <c r="D442" s="532"/>
      <c r="E442" s="532"/>
      <c r="F442" s="532"/>
      <c r="G442" s="532"/>
      <c r="H442" s="532"/>
      <c r="I442" s="532"/>
      <c r="J442" s="532"/>
      <c r="K442" s="532"/>
      <c r="L442" s="532"/>
      <c r="M442" s="532"/>
      <c r="N442" s="532"/>
      <c r="O442" s="532"/>
      <c r="P442" s="532"/>
      <c r="Q442" s="532"/>
      <c r="R442" s="532"/>
      <c r="S442" s="532"/>
      <c r="T442" s="532"/>
      <c r="U442" s="30"/>
    </row>
    <row r="443" spans="1:22" ht="24" customHeight="1">
      <c r="A443" s="532"/>
      <c r="B443" s="532"/>
      <c r="C443" s="532"/>
      <c r="D443" s="532"/>
      <c r="E443" s="532"/>
      <c r="F443" s="532"/>
      <c r="G443" s="532"/>
      <c r="H443" s="532"/>
      <c r="I443" s="532"/>
      <c r="J443" s="532"/>
      <c r="K443" s="532"/>
      <c r="L443" s="532"/>
      <c r="M443" s="532"/>
      <c r="N443" s="532"/>
      <c r="O443" s="532"/>
      <c r="P443" s="532"/>
      <c r="Q443" s="532"/>
      <c r="R443" s="532"/>
      <c r="S443" s="532"/>
      <c r="T443" s="532"/>
      <c r="U443" s="30"/>
    </row>
    <row r="444" spans="1:22" ht="15">
      <c r="A444" s="379" t="s">
        <v>407</v>
      </c>
      <c r="B444" s="379"/>
      <c r="C444" s="379"/>
      <c r="D444" s="379"/>
      <c r="E444" s="379"/>
      <c r="F444" s="379"/>
      <c r="G444" s="379"/>
      <c r="H444" s="379"/>
      <c r="I444" s="379"/>
      <c r="J444" s="379"/>
      <c r="K444" s="379"/>
      <c r="L444" s="379"/>
      <c r="M444" s="379"/>
      <c r="N444" s="379"/>
      <c r="O444" s="379"/>
      <c r="P444" s="379"/>
      <c r="Q444" s="379"/>
      <c r="R444" s="379"/>
      <c r="S444" s="379"/>
      <c r="T444" s="379"/>
      <c r="U444" s="30"/>
    </row>
    <row r="445" spans="1:22" ht="15">
      <c r="A445" s="379"/>
      <c r="B445" s="379"/>
      <c r="C445" s="379"/>
      <c r="D445" s="379"/>
      <c r="E445" s="379"/>
      <c r="F445" s="379"/>
      <c r="G445" s="379"/>
      <c r="H445" s="379"/>
      <c r="I445" s="379"/>
      <c r="J445" s="379"/>
      <c r="K445" s="379"/>
      <c r="L445" s="379"/>
      <c r="M445" s="379"/>
      <c r="N445" s="379"/>
      <c r="O445" s="379"/>
      <c r="P445" s="379"/>
      <c r="Q445" s="379"/>
      <c r="R445" s="379"/>
      <c r="S445" s="379"/>
      <c r="T445" s="379"/>
      <c r="U445" s="30"/>
    </row>
    <row r="446" spans="1:22" ht="15">
      <c r="A446" s="378" t="s">
        <v>408</v>
      </c>
      <c r="B446" s="378"/>
      <c r="C446" s="378"/>
      <c r="D446" s="378"/>
      <c r="E446" s="380">
        <f>0.42*Q34*H472</f>
        <v>0.65180635805215148</v>
      </c>
      <c r="F446" s="380"/>
      <c r="G446" s="378" t="s">
        <v>258</v>
      </c>
      <c r="H446" s="31"/>
      <c r="I446" s="31"/>
      <c r="J446" s="31"/>
      <c r="K446" s="31"/>
      <c r="L446" s="30"/>
      <c r="M446" s="30"/>
      <c r="N446" s="30"/>
      <c r="O446" s="30"/>
      <c r="P446" s="30"/>
      <c r="Q446" s="30"/>
      <c r="R446" s="30"/>
      <c r="S446" s="30"/>
      <c r="T446" s="30"/>
      <c r="U446" s="30"/>
    </row>
    <row r="447" spans="1:22" ht="15">
      <c r="A447" s="378"/>
      <c r="B447" s="378"/>
      <c r="C447" s="378"/>
      <c r="D447" s="378"/>
      <c r="E447" s="380"/>
      <c r="F447" s="380"/>
      <c r="G447" s="378"/>
      <c r="H447" s="31"/>
      <c r="I447" s="31"/>
      <c r="J447" s="31"/>
      <c r="K447" s="31"/>
      <c r="L447" s="30"/>
      <c r="M447" s="30"/>
      <c r="N447" s="30"/>
      <c r="O447" s="30"/>
      <c r="P447" s="30"/>
      <c r="Q447" s="30"/>
      <c r="R447" s="30"/>
      <c r="S447" s="30"/>
      <c r="T447" s="30"/>
      <c r="U447" s="30"/>
    </row>
    <row r="448" spans="1:22" ht="15.75">
      <c r="A448" s="529" t="s">
        <v>525</v>
      </c>
      <c r="B448" s="529"/>
      <c r="C448" s="529"/>
      <c r="D448" s="529"/>
      <c r="E448" s="529"/>
      <c r="F448" s="529"/>
      <c r="G448" s="529"/>
      <c r="H448" s="529"/>
      <c r="I448" s="529"/>
      <c r="J448" s="529"/>
      <c r="K448" s="529"/>
      <c r="L448" s="529"/>
      <c r="M448" s="529"/>
      <c r="N448" s="529"/>
      <c r="O448" s="529"/>
      <c r="P448" s="529"/>
      <c r="Q448" s="529"/>
      <c r="R448" s="529"/>
      <c r="S448" s="529"/>
      <c r="T448" s="529"/>
      <c r="U448" s="30"/>
    </row>
    <row r="449" spans="1:21" ht="15.75">
      <c r="A449" s="118"/>
      <c r="B449" s="118"/>
      <c r="C449" s="118"/>
      <c r="D449" s="118"/>
      <c r="E449" s="118"/>
      <c r="F449" s="118"/>
      <c r="G449" s="118"/>
      <c r="H449" s="118"/>
      <c r="I449" s="118"/>
      <c r="J449" s="118"/>
      <c r="K449" s="118"/>
      <c r="L449" s="118"/>
      <c r="M449" s="118"/>
      <c r="N449" s="118"/>
      <c r="O449" s="118"/>
      <c r="P449" s="118"/>
      <c r="Q449" s="118"/>
      <c r="R449" s="118"/>
      <c r="S449" s="118"/>
      <c r="T449" s="118"/>
      <c r="U449" s="30"/>
    </row>
    <row r="450" spans="1:21" ht="15.75">
      <c r="A450" s="118"/>
      <c r="B450" s="118"/>
      <c r="C450" s="118"/>
      <c r="D450" s="118"/>
      <c r="E450" s="118"/>
      <c r="F450" s="118"/>
      <c r="G450" s="118"/>
      <c r="H450" s="118"/>
      <c r="I450" s="118"/>
      <c r="J450" s="118"/>
      <c r="K450" s="118"/>
      <c r="L450" s="118"/>
      <c r="M450" s="118"/>
      <c r="N450" s="118"/>
      <c r="O450" s="118"/>
      <c r="P450" s="118"/>
      <c r="Q450" s="118"/>
      <c r="R450" s="118"/>
      <c r="S450" s="118"/>
      <c r="T450" s="118"/>
      <c r="U450" s="30"/>
    </row>
    <row r="451" spans="1:21" ht="15.75">
      <c r="A451" s="118"/>
      <c r="B451" s="118"/>
      <c r="C451" s="118"/>
      <c r="D451" s="118"/>
      <c r="E451" s="118"/>
      <c r="F451" s="118"/>
      <c r="G451" s="118"/>
      <c r="H451" s="118"/>
      <c r="I451" s="118"/>
      <c r="J451" s="118"/>
      <c r="K451" s="118"/>
      <c r="L451" s="118"/>
      <c r="M451" s="118"/>
      <c r="N451" s="118"/>
      <c r="O451" s="118"/>
      <c r="P451" s="118"/>
      <c r="Q451" s="118"/>
      <c r="R451" s="118"/>
      <c r="S451" s="118"/>
      <c r="T451" s="118"/>
      <c r="U451" s="30"/>
    </row>
    <row r="452" spans="1:21" ht="15.75">
      <c r="A452" s="118"/>
      <c r="B452" s="118"/>
      <c r="C452" s="118"/>
      <c r="D452" s="118"/>
      <c r="E452" s="118"/>
      <c r="F452" s="118"/>
      <c r="G452" s="118"/>
      <c r="H452" s="118"/>
      <c r="I452" s="118"/>
      <c r="J452" s="118"/>
      <c r="K452" s="118"/>
      <c r="L452" s="118"/>
      <c r="M452" s="118"/>
      <c r="N452" s="118"/>
      <c r="O452" s="118"/>
      <c r="P452" s="118"/>
      <c r="Q452" s="118"/>
      <c r="R452" s="118"/>
      <c r="S452" s="118"/>
      <c r="T452" s="118"/>
      <c r="U452" s="30"/>
    </row>
    <row r="453" spans="1:21" ht="15.75">
      <c r="A453" s="118"/>
      <c r="B453" s="118"/>
      <c r="C453" s="118"/>
      <c r="D453" s="118"/>
      <c r="E453" s="118"/>
      <c r="F453" s="118"/>
      <c r="G453" s="118"/>
      <c r="H453" s="118"/>
      <c r="I453" s="118"/>
      <c r="J453" s="118"/>
      <c r="K453" s="118"/>
      <c r="L453" s="118"/>
      <c r="M453" s="118"/>
      <c r="N453" s="118"/>
      <c r="O453" s="118"/>
      <c r="P453" s="118"/>
      <c r="Q453" s="118"/>
      <c r="R453" s="118"/>
      <c r="S453" s="118"/>
      <c r="T453" s="118"/>
      <c r="U453" s="30"/>
    </row>
    <row r="454" spans="1:21" ht="15.75">
      <c r="A454" s="118"/>
      <c r="B454" s="118"/>
      <c r="C454" s="118"/>
      <c r="D454" s="118"/>
      <c r="E454" s="118"/>
      <c r="F454" s="118"/>
      <c r="G454" s="118"/>
      <c r="H454" s="118"/>
      <c r="I454" s="118"/>
      <c r="J454" s="118"/>
      <c r="K454" s="118"/>
      <c r="L454" s="118"/>
      <c r="M454" s="118"/>
      <c r="N454" s="118"/>
      <c r="O454" s="118"/>
      <c r="P454" s="118"/>
      <c r="Q454" s="118"/>
      <c r="R454" s="118"/>
      <c r="S454" s="118"/>
      <c r="T454" s="118"/>
      <c r="U454" s="30"/>
    </row>
    <row r="455" spans="1:21" ht="15.75">
      <c r="A455" s="118"/>
      <c r="B455" s="118"/>
      <c r="C455" s="118"/>
      <c r="D455" s="118"/>
      <c r="E455" s="118"/>
      <c r="F455" s="118"/>
      <c r="G455" s="118"/>
      <c r="H455" s="118"/>
      <c r="I455" s="118"/>
      <c r="J455" s="118"/>
      <c r="K455" s="118"/>
      <c r="L455" s="118"/>
      <c r="M455" s="118"/>
      <c r="N455" s="118"/>
      <c r="O455" s="118"/>
      <c r="P455" s="118"/>
      <c r="Q455" s="118"/>
      <c r="R455" s="118"/>
      <c r="S455" s="118"/>
      <c r="T455" s="118"/>
      <c r="U455" s="30"/>
    </row>
    <row r="456" spans="1:21" ht="15.75">
      <c r="A456" s="118"/>
      <c r="B456" s="118"/>
      <c r="C456" s="118"/>
      <c r="D456" s="118"/>
      <c r="E456" s="118"/>
      <c r="F456" s="118"/>
      <c r="G456" s="118"/>
      <c r="H456" s="118"/>
      <c r="I456" s="118"/>
      <c r="J456" s="118"/>
      <c r="K456" s="118"/>
      <c r="L456" s="118"/>
      <c r="M456" s="118"/>
      <c r="N456" s="118"/>
      <c r="O456" s="118"/>
      <c r="P456" s="118"/>
      <c r="Q456" s="118"/>
      <c r="R456" s="118"/>
      <c r="S456" s="118"/>
      <c r="T456" s="118"/>
      <c r="U456" s="30"/>
    </row>
    <row r="457" spans="1:21" ht="15.75">
      <c r="A457" s="118"/>
      <c r="B457" s="118"/>
      <c r="C457" s="118"/>
      <c r="D457" s="118"/>
      <c r="E457" s="118"/>
      <c r="F457" s="118"/>
      <c r="G457" s="118"/>
      <c r="H457" s="118"/>
      <c r="I457" s="118"/>
      <c r="J457" s="118"/>
      <c r="K457" s="118"/>
      <c r="L457" s="118"/>
      <c r="M457" s="118"/>
      <c r="N457" s="118"/>
      <c r="O457" s="118"/>
      <c r="P457" s="118"/>
      <c r="Q457" s="118"/>
      <c r="R457" s="118"/>
      <c r="S457" s="118"/>
      <c r="T457" s="118"/>
      <c r="U457" s="30"/>
    </row>
    <row r="458" spans="1:21" ht="15.75">
      <c r="A458" s="118"/>
      <c r="B458" s="118"/>
      <c r="C458" s="118"/>
      <c r="D458" s="118"/>
      <c r="E458" s="118"/>
      <c r="F458" s="118"/>
      <c r="G458" s="118"/>
      <c r="H458" s="118"/>
      <c r="I458" s="118"/>
      <c r="J458" s="118"/>
      <c r="K458" s="118"/>
      <c r="L458" s="118"/>
      <c r="M458" s="118"/>
      <c r="N458" s="118"/>
      <c r="O458" s="118"/>
      <c r="P458" s="118"/>
      <c r="Q458" s="118"/>
      <c r="R458" s="118"/>
      <c r="S458" s="118"/>
      <c r="T458" s="118"/>
      <c r="U458" s="30"/>
    </row>
    <row r="459" spans="1:21" ht="15.75">
      <c r="A459" s="118"/>
      <c r="B459" s="118"/>
      <c r="C459" s="118"/>
      <c r="D459" s="118"/>
      <c r="E459" s="118"/>
      <c r="F459" s="118" t="s">
        <v>735</v>
      </c>
      <c r="H459" s="118"/>
      <c r="J459" s="118"/>
      <c r="K459" s="118"/>
      <c r="L459" s="118">
        <v>1</v>
      </c>
      <c r="M459" s="118"/>
      <c r="N459" s="118"/>
      <c r="O459" s="118"/>
      <c r="P459" s="118"/>
      <c r="Q459" s="118"/>
      <c r="R459" s="118"/>
      <c r="S459" s="118"/>
      <c r="T459" s="118"/>
      <c r="U459" s="30"/>
    </row>
    <row r="460" spans="1:21" ht="15">
      <c r="A460" s="30"/>
      <c r="B460" s="382"/>
      <c r="C460" s="382"/>
      <c r="D460" s="382"/>
      <c r="E460" s="382"/>
      <c r="F460" s="382"/>
      <c r="G460" s="382"/>
      <c r="H460" s="382"/>
      <c r="I460" s="382"/>
      <c r="J460" s="382"/>
      <c r="K460" s="382"/>
      <c r="L460" s="382"/>
      <c r="M460" s="382"/>
      <c r="N460" s="382"/>
      <c r="O460" s="30"/>
      <c r="P460" s="30"/>
      <c r="Q460" s="30"/>
      <c r="R460" s="30"/>
      <c r="S460" s="30"/>
      <c r="T460" s="30"/>
      <c r="U460" s="30"/>
    </row>
    <row r="461" spans="1:21" ht="15">
      <c r="A461" s="30"/>
      <c r="B461" s="30"/>
      <c r="C461" s="30"/>
      <c r="D461" s="30"/>
      <c r="E461" s="30"/>
      <c r="F461" s="30"/>
      <c r="G461" s="30"/>
      <c r="H461" s="30"/>
      <c r="I461" s="30"/>
      <c r="J461" s="30"/>
      <c r="K461" s="30"/>
      <c r="L461" s="30"/>
      <c r="M461" s="30"/>
      <c r="N461" s="30"/>
      <c r="O461" s="30"/>
      <c r="P461" s="30"/>
      <c r="Q461" s="30"/>
      <c r="R461" s="30"/>
      <c r="S461" s="30"/>
      <c r="T461" s="30"/>
      <c r="U461" s="30"/>
    </row>
    <row r="462" spans="1:21" ht="15">
      <c r="A462" s="30"/>
      <c r="B462" s="30"/>
      <c r="C462" s="30"/>
      <c r="D462" s="30"/>
      <c r="E462" s="30"/>
      <c r="F462" s="30"/>
      <c r="G462" s="30"/>
      <c r="H462" s="30"/>
      <c r="I462" s="30"/>
      <c r="J462" s="30"/>
      <c r="K462" s="30"/>
      <c r="L462" s="30"/>
      <c r="M462" s="30"/>
      <c r="N462" s="30"/>
      <c r="O462" s="30"/>
      <c r="P462" s="30"/>
      <c r="Q462" s="30"/>
      <c r="R462" s="30"/>
      <c r="S462" s="30"/>
      <c r="T462" s="30"/>
      <c r="U462" s="30"/>
    </row>
    <row r="463" spans="1:21" ht="15">
      <c r="A463" s="30"/>
      <c r="B463" s="30"/>
      <c r="C463" s="30"/>
      <c r="D463" s="30"/>
      <c r="E463" s="30"/>
      <c r="F463" s="30"/>
      <c r="G463" s="30"/>
      <c r="H463" s="30"/>
      <c r="I463" s="30"/>
      <c r="J463" s="30"/>
      <c r="K463" s="30"/>
      <c r="L463" s="30"/>
      <c r="M463" s="30"/>
      <c r="N463" s="30"/>
      <c r="O463" s="30"/>
      <c r="P463" s="30"/>
      <c r="Q463" s="30"/>
      <c r="R463" s="30"/>
      <c r="S463" s="30"/>
      <c r="T463" s="30"/>
      <c r="U463" s="30"/>
    </row>
    <row r="464" spans="1:21" ht="15">
      <c r="A464" s="30"/>
      <c r="B464" s="30"/>
      <c r="C464" s="30"/>
      <c r="D464" s="30"/>
      <c r="E464" s="30"/>
      <c r="F464" s="30"/>
      <c r="G464" s="30"/>
      <c r="H464" s="30"/>
      <c r="I464" s="30"/>
      <c r="J464" s="30"/>
      <c r="K464" s="30"/>
      <c r="L464" s="30"/>
      <c r="M464" s="30"/>
      <c r="N464" s="30"/>
      <c r="O464" s="30"/>
      <c r="P464" s="30"/>
      <c r="Q464" s="30"/>
      <c r="R464" s="30"/>
      <c r="S464" s="30"/>
      <c r="T464" s="30"/>
      <c r="U464" s="30"/>
    </row>
    <row r="465" spans="1:21" ht="15">
      <c r="A465" s="30"/>
      <c r="B465" s="30"/>
      <c r="C465" s="30"/>
      <c r="D465" s="30"/>
      <c r="E465" s="30"/>
      <c r="F465" s="30"/>
      <c r="G465" s="30"/>
      <c r="H465" s="30"/>
      <c r="I465" s="30"/>
      <c r="J465" s="30"/>
      <c r="K465" s="30"/>
      <c r="L465" s="30"/>
      <c r="M465" s="30"/>
      <c r="N465" s="30"/>
      <c r="O465" s="30"/>
      <c r="P465" s="30"/>
      <c r="Q465" s="30"/>
      <c r="R465" s="30"/>
      <c r="S465" s="30"/>
      <c r="T465" s="30"/>
      <c r="U465" s="30"/>
    </row>
    <row r="466" spans="1:21" ht="15">
      <c r="A466" s="30"/>
      <c r="B466" s="30"/>
      <c r="C466" s="30"/>
      <c r="D466" s="30"/>
      <c r="E466" s="30"/>
      <c r="F466" s="30"/>
      <c r="G466" s="30"/>
      <c r="H466" s="30"/>
      <c r="I466" s="30"/>
      <c r="J466" s="30"/>
      <c r="K466" s="30"/>
      <c r="L466" s="30"/>
      <c r="M466" s="30"/>
      <c r="N466" s="30"/>
      <c r="O466" s="30"/>
      <c r="P466" s="30"/>
      <c r="Q466" s="30"/>
      <c r="R466" s="30"/>
      <c r="S466" s="30"/>
      <c r="T466" s="30"/>
      <c r="U466" s="30"/>
    </row>
    <row r="467" spans="1:21" ht="15">
      <c r="A467" s="30"/>
      <c r="B467" s="30"/>
      <c r="C467" s="30"/>
      <c r="D467" s="30"/>
      <c r="E467" s="30"/>
      <c r="F467" s="30"/>
      <c r="G467" s="30"/>
      <c r="H467" s="30"/>
      <c r="I467" s="30"/>
      <c r="J467" s="30"/>
      <c r="K467" s="30"/>
      <c r="L467" s="30"/>
      <c r="M467" s="30"/>
      <c r="N467" s="30"/>
      <c r="O467" s="30"/>
      <c r="P467" s="30"/>
      <c r="Q467" s="30"/>
      <c r="R467" s="30"/>
      <c r="S467" s="30"/>
      <c r="T467" s="30"/>
      <c r="U467" s="30"/>
    </row>
    <row r="468" spans="1:21" ht="15">
      <c r="A468" s="30"/>
      <c r="B468" s="30"/>
      <c r="C468" s="30"/>
      <c r="D468" s="30"/>
      <c r="E468" s="30"/>
      <c r="F468" s="30"/>
      <c r="G468" s="30"/>
      <c r="H468" s="30"/>
      <c r="I468" s="30"/>
      <c r="J468" s="30"/>
      <c r="K468" s="30"/>
      <c r="L468" s="30"/>
      <c r="M468" s="30"/>
      <c r="N468" s="30"/>
      <c r="O468" s="30"/>
      <c r="P468" s="30"/>
      <c r="Q468" s="30"/>
      <c r="R468" s="30"/>
      <c r="S468" s="30"/>
      <c r="T468" s="30"/>
      <c r="U468" s="30"/>
    </row>
    <row r="469" spans="1:21" ht="15">
      <c r="A469" s="30"/>
      <c r="B469" s="30"/>
      <c r="C469" s="30"/>
      <c r="D469" s="30"/>
      <c r="E469" s="30"/>
      <c r="F469" s="30"/>
      <c r="G469" s="30"/>
      <c r="H469" s="30"/>
      <c r="I469" s="30"/>
      <c r="J469" s="30"/>
      <c r="K469" s="30"/>
      <c r="L469" s="30"/>
      <c r="M469" s="30"/>
      <c r="N469" s="30"/>
      <c r="O469" s="30"/>
      <c r="P469" s="30"/>
      <c r="Q469" s="30"/>
      <c r="R469" s="30"/>
      <c r="S469" s="30"/>
      <c r="T469" s="30"/>
      <c r="U469" s="30"/>
    </row>
    <row r="470" spans="1:21" ht="15">
      <c r="A470" s="30"/>
      <c r="B470" s="30"/>
      <c r="C470" s="535" t="s">
        <v>411</v>
      </c>
      <c r="D470" s="535"/>
      <c r="E470" s="535"/>
      <c r="F470" s="536">
        <f>Q25</f>
        <v>3.7770350129094972</v>
      </c>
      <c r="G470" s="537"/>
      <c r="H470" s="530" t="s">
        <v>522</v>
      </c>
      <c r="I470" s="378" t="s">
        <v>685</v>
      </c>
      <c r="J470" s="378"/>
      <c r="K470" s="378"/>
      <c r="L470" s="378" t="s">
        <v>686</v>
      </c>
      <c r="M470" s="378"/>
      <c r="N470" s="378"/>
      <c r="O470" s="378"/>
      <c r="P470" s="30"/>
      <c r="Q470" s="30"/>
      <c r="R470" s="30"/>
      <c r="S470" s="30"/>
      <c r="T470" s="30"/>
      <c r="U470" s="30"/>
    </row>
    <row r="471" spans="1:21" ht="15">
      <c r="A471" s="30"/>
      <c r="B471" s="30"/>
      <c r="C471" s="535"/>
      <c r="D471" s="535"/>
      <c r="E471" s="535"/>
      <c r="F471" s="537"/>
      <c r="G471" s="537"/>
      <c r="H471" s="378"/>
      <c r="I471" s="378"/>
      <c r="J471" s="378"/>
      <c r="K471" s="378"/>
      <c r="L471" s="378"/>
      <c r="M471" s="378"/>
      <c r="N471" s="378"/>
      <c r="O471" s="378"/>
      <c r="P471" s="30"/>
      <c r="Q471" s="30"/>
      <c r="R471" s="30"/>
      <c r="S471" s="30"/>
      <c r="T471" s="30"/>
      <c r="U471" s="30"/>
    </row>
    <row r="472" spans="1:21" ht="15">
      <c r="A472" s="30"/>
      <c r="B472" s="382" t="s">
        <v>409</v>
      </c>
      <c r="C472" s="382"/>
      <c r="D472" s="382"/>
      <c r="E472" s="382"/>
      <c r="F472" s="30"/>
      <c r="G472" s="30" t="s">
        <v>492</v>
      </c>
      <c r="H472" s="383">
        <f>2.5*Q26*Q27*Q23*Q29*(Q21/Q25)</f>
        <v>0.11937845385570539</v>
      </c>
      <c r="I472" s="383"/>
      <c r="J472" s="383"/>
      <c r="K472" s="383"/>
      <c r="L472" s="65" t="s">
        <v>522</v>
      </c>
      <c r="M472" s="30" t="str">
        <f>IF((F470)&lt;4,"Yes","No")</f>
        <v>Yes</v>
      </c>
      <c r="N472" s="30"/>
      <c r="O472" s="30"/>
      <c r="P472" s="30"/>
      <c r="Q472" s="30"/>
      <c r="R472" s="30"/>
      <c r="S472" s="30"/>
      <c r="T472" s="30"/>
      <c r="U472" s="30"/>
    </row>
    <row r="473" spans="1:21" ht="15">
      <c r="A473" s="30"/>
      <c r="B473" s="382" t="s">
        <v>410</v>
      </c>
      <c r="C473" s="382"/>
      <c r="D473" s="382"/>
      <c r="E473" s="382"/>
      <c r="F473" s="30"/>
      <c r="G473" s="30" t="s">
        <v>492</v>
      </c>
      <c r="H473" s="383">
        <f>2.5*Q26*Q27*Q29*Q16*Q23*((4*Q21)/(Q25^2))</f>
        <v>0.15803196614233489</v>
      </c>
      <c r="I473" s="383"/>
      <c r="J473" s="383"/>
      <c r="K473" s="383"/>
      <c r="L473" s="65" t="s">
        <v>522</v>
      </c>
      <c r="M473" s="30" t="str">
        <f>IF((F470)&gt;4,"Yes","No")</f>
        <v>No</v>
      </c>
      <c r="N473" s="30"/>
      <c r="O473" s="30"/>
      <c r="P473" s="30"/>
      <c r="Q473" s="30"/>
      <c r="R473" s="30"/>
      <c r="S473" s="30"/>
      <c r="T473" s="30"/>
      <c r="U473" s="30"/>
    </row>
    <row r="474" spans="1:21" ht="15">
      <c r="A474" s="30"/>
      <c r="B474" s="30"/>
      <c r="C474" s="30"/>
      <c r="D474" s="30"/>
      <c r="E474" s="30"/>
      <c r="F474" s="30"/>
      <c r="G474" s="30"/>
      <c r="H474" s="30"/>
      <c r="I474" s="30"/>
      <c r="J474" s="30"/>
      <c r="K474" s="30"/>
      <c r="L474" s="30"/>
      <c r="M474" s="30"/>
      <c r="N474" s="30"/>
      <c r="O474" s="30"/>
      <c r="P474" s="30"/>
      <c r="Q474" s="30"/>
      <c r="R474" s="30"/>
      <c r="S474" s="30"/>
      <c r="T474" s="30"/>
      <c r="U474" s="30"/>
    </row>
    <row r="475" spans="1:21" ht="15">
      <c r="A475" s="30"/>
      <c r="B475" s="30"/>
      <c r="C475" s="30"/>
      <c r="D475" s="30"/>
      <c r="E475" s="30"/>
      <c r="F475" s="30"/>
      <c r="G475" s="30"/>
      <c r="H475" s="30"/>
      <c r="I475" s="30"/>
      <c r="J475" s="30"/>
      <c r="K475" s="30"/>
      <c r="L475" s="30"/>
      <c r="M475" s="30"/>
      <c r="N475" s="30"/>
      <c r="O475" s="30"/>
      <c r="P475" s="30"/>
      <c r="Q475" s="30"/>
      <c r="R475" s="30"/>
      <c r="S475" s="30"/>
      <c r="T475" s="30"/>
      <c r="U475" s="30"/>
    </row>
    <row r="476" spans="1:21" ht="15">
      <c r="A476" s="30"/>
      <c r="B476" s="30"/>
      <c r="C476" s="30"/>
      <c r="D476" s="30"/>
      <c r="E476" s="30"/>
      <c r="F476" s="30"/>
      <c r="G476" s="30"/>
      <c r="H476" s="30"/>
      <c r="I476" s="30"/>
      <c r="J476" s="30"/>
      <c r="K476" s="30"/>
      <c r="L476" s="30"/>
      <c r="M476" s="30"/>
      <c r="N476" s="30"/>
      <c r="O476" s="30"/>
      <c r="P476" s="30"/>
      <c r="Q476" s="30"/>
      <c r="R476" s="30"/>
      <c r="S476" s="30"/>
      <c r="T476" s="30"/>
      <c r="U476" s="30"/>
    </row>
    <row r="477" spans="1:21" ht="15">
      <c r="A477" s="30"/>
      <c r="B477" s="30"/>
      <c r="C477" s="30"/>
      <c r="D477" s="30"/>
      <c r="E477" s="30"/>
      <c r="F477" s="30"/>
      <c r="G477" s="30"/>
      <c r="H477" s="30"/>
      <c r="I477" s="30"/>
      <c r="J477" s="30"/>
      <c r="K477" s="30"/>
      <c r="L477" s="30"/>
      <c r="M477" s="30"/>
      <c r="N477" s="30"/>
      <c r="O477" s="30"/>
      <c r="P477" s="30"/>
      <c r="Q477" s="30"/>
      <c r="R477" s="30"/>
      <c r="S477" s="30"/>
      <c r="T477" s="30"/>
      <c r="U477" s="30"/>
    </row>
    <row r="478" spans="1:21" ht="15">
      <c r="A478" s="30"/>
      <c r="B478" s="30"/>
      <c r="C478" s="30"/>
      <c r="D478" s="30"/>
      <c r="E478" s="30"/>
      <c r="F478" s="30"/>
      <c r="G478" s="30"/>
      <c r="H478" s="30"/>
      <c r="I478" s="30"/>
      <c r="J478" s="30"/>
      <c r="K478" s="30"/>
      <c r="L478" s="30"/>
      <c r="M478" s="30"/>
      <c r="N478" s="30"/>
      <c r="O478" s="30"/>
      <c r="P478" s="30"/>
      <c r="Q478" s="30"/>
      <c r="R478" s="30"/>
      <c r="S478" s="30"/>
      <c r="T478" s="30"/>
      <c r="U478" s="30"/>
    </row>
    <row r="479" spans="1:21" ht="15">
      <c r="A479" s="30"/>
      <c r="B479" s="30"/>
      <c r="C479" s="30"/>
      <c r="D479" s="30"/>
      <c r="E479" s="30"/>
      <c r="F479" s="30"/>
      <c r="G479" s="30"/>
      <c r="H479" s="30"/>
      <c r="I479" s="30"/>
      <c r="J479" s="30"/>
      <c r="K479" s="30"/>
      <c r="L479" s="30"/>
      <c r="M479" s="30"/>
      <c r="N479" s="30"/>
      <c r="O479" s="30"/>
      <c r="P479" s="30"/>
      <c r="Q479" s="30"/>
      <c r="R479" s="30"/>
      <c r="S479" s="30"/>
      <c r="T479" s="30"/>
      <c r="U479" s="30"/>
    </row>
    <row r="480" spans="1:21" ht="15">
      <c r="A480" s="30"/>
      <c r="B480" s="30"/>
      <c r="C480" s="30"/>
      <c r="D480" s="30"/>
      <c r="E480" s="30"/>
      <c r="F480" s="30"/>
      <c r="G480" s="30"/>
      <c r="H480" s="30"/>
      <c r="I480" s="30"/>
      <c r="J480" s="30"/>
      <c r="K480" s="30"/>
      <c r="L480" s="30"/>
      <c r="M480" s="30"/>
      <c r="N480" s="30"/>
      <c r="O480" s="30"/>
      <c r="P480" s="30"/>
      <c r="Q480" s="30"/>
      <c r="R480" s="30"/>
      <c r="S480" s="30"/>
      <c r="T480" s="30"/>
      <c r="U480" s="30"/>
    </row>
    <row r="481" spans="1:29" ht="15">
      <c r="A481" s="30"/>
      <c r="B481" s="30"/>
      <c r="C481" s="30"/>
      <c r="D481" s="30"/>
      <c r="E481" s="30"/>
      <c r="F481" s="30"/>
      <c r="G481" s="30"/>
      <c r="H481" s="30"/>
      <c r="I481" s="30"/>
      <c r="J481" s="30"/>
      <c r="K481" s="30"/>
      <c r="L481" s="30"/>
      <c r="M481" s="30"/>
      <c r="N481" s="30"/>
      <c r="O481" s="30"/>
      <c r="P481" s="30"/>
      <c r="Q481" s="30"/>
      <c r="R481" s="30"/>
      <c r="S481" s="30"/>
      <c r="T481" s="30"/>
      <c r="U481" s="30"/>
    </row>
    <row r="482" spans="1:29" ht="15">
      <c r="A482" s="30"/>
      <c r="B482" s="30"/>
      <c r="C482" s="30"/>
      <c r="D482" s="30"/>
      <c r="E482" s="30"/>
      <c r="F482" s="30"/>
      <c r="G482" s="30"/>
      <c r="H482" s="30"/>
      <c r="I482" s="30"/>
      <c r="J482" s="30"/>
      <c r="K482" s="30"/>
      <c r="L482" s="30"/>
      <c r="M482" s="30"/>
      <c r="N482" s="30"/>
      <c r="O482" s="30"/>
      <c r="P482" s="30"/>
      <c r="Q482" s="30"/>
      <c r="R482" s="30"/>
      <c r="S482" s="30"/>
      <c r="T482" s="30"/>
      <c r="U482" s="30"/>
    </row>
    <row r="483" spans="1:29" ht="15">
      <c r="A483" s="30"/>
      <c r="B483" s="30"/>
      <c r="C483" s="30"/>
      <c r="D483" s="30"/>
      <c r="E483" s="30"/>
      <c r="F483" s="30"/>
      <c r="G483" s="30"/>
      <c r="H483" s="30"/>
      <c r="I483" s="30"/>
      <c r="J483" s="30"/>
      <c r="K483" s="30"/>
      <c r="L483" s="30"/>
      <c r="M483" s="30"/>
      <c r="N483" s="30"/>
      <c r="O483" s="30"/>
      <c r="P483" s="30"/>
      <c r="Q483" s="30"/>
      <c r="R483" s="30"/>
      <c r="S483" s="30"/>
      <c r="T483" s="30"/>
      <c r="U483" s="30"/>
    </row>
    <row r="484" spans="1:29" ht="15">
      <c r="A484" s="30"/>
      <c r="B484" s="30"/>
      <c r="C484" s="30"/>
      <c r="D484" s="30"/>
      <c r="E484" s="30"/>
      <c r="F484" s="30"/>
      <c r="G484" s="30"/>
      <c r="H484" s="30"/>
      <c r="I484" s="30"/>
      <c r="J484" s="30"/>
      <c r="K484" s="30"/>
      <c r="L484" s="30"/>
      <c r="M484" s="30"/>
      <c r="N484" s="30"/>
      <c r="O484" s="30"/>
      <c r="P484" s="30"/>
      <c r="Q484" s="30"/>
      <c r="R484" s="30"/>
      <c r="S484" s="30"/>
      <c r="T484" s="30"/>
      <c r="U484" s="30"/>
    </row>
    <row r="485" spans="1:29" ht="15">
      <c r="A485" s="30"/>
      <c r="B485" s="30"/>
      <c r="C485" s="30"/>
      <c r="D485" s="30"/>
      <c r="E485" s="30"/>
      <c r="F485" s="30"/>
      <c r="G485" s="30"/>
      <c r="H485" s="30"/>
      <c r="I485" s="30"/>
      <c r="J485" s="30"/>
      <c r="K485" s="30"/>
      <c r="L485" s="30"/>
      <c r="M485" s="30"/>
      <c r="N485" s="30"/>
      <c r="O485" s="30"/>
      <c r="P485" s="30"/>
      <c r="Q485" s="30"/>
      <c r="R485" s="30"/>
      <c r="S485" s="30"/>
      <c r="T485" s="30"/>
      <c r="U485" s="30"/>
      <c r="X485" s="455"/>
      <c r="Y485" s="353"/>
      <c r="Z485" s="353"/>
      <c r="AA485" s="353"/>
      <c r="AB485" s="353"/>
      <c r="AC485" s="353"/>
    </row>
    <row r="486" spans="1:29" ht="15">
      <c r="A486" s="30"/>
      <c r="B486" s="30"/>
      <c r="C486" s="535" t="s">
        <v>493</v>
      </c>
      <c r="D486" s="535"/>
      <c r="E486" s="380">
        <f>Q32</f>
        <v>0.75375000000000003</v>
      </c>
      <c r="F486" s="380"/>
      <c r="G486" s="378" t="s">
        <v>327</v>
      </c>
      <c r="H486" s="378"/>
      <c r="I486" s="378"/>
      <c r="J486" s="378">
        <v>0.33</v>
      </c>
      <c r="K486" s="378"/>
      <c r="L486" s="378" t="s">
        <v>327</v>
      </c>
      <c r="M486" s="382"/>
      <c r="N486" s="382"/>
      <c r="O486" s="378" t="s">
        <v>859</v>
      </c>
      <c r="P486" s="378"/>
      <c r="Q486" s="382"/>
      <c r="R486" s="380">
        <f>E446*0.7</f>
        <v>0.456264450636506</v>
      </c>
      <c r="S486" s="380"/>
      <c r="T486" s="378" t="s">
        <v>258</v>
      </c>
      <c r="U486" s="30"/>
    </row>
    <row r="487" spans="1:29" ht="15">
      <c r="A487" s="30"/>
      <c r="B487" s="30"/>
      <c r="C487" s="535"/>
      <c r="D487" s="535"/>
      <c r="E487" s="380"/>
      <c r="F487" s="380"/>
      <c r="G487" s="378"/>
      <c r="H487" s="378"/>
      <c r="I487" s="378"/>
      <c r="J487" s="378"/>
      <c r="K487" s="378"/>
      <c r="L487" s="378"/>
      <c r="M487" s="382"/>
      <c r="N487" s="382"/>
      <c r="O487" s="378"/>
      <c r="P487" s="378"/>
      <c r="Q487" s="382"/>
      <c r="R487" s="380"/>
      <c r="S487" s="380"/>
      <c r="T487" s="378"/>
      <c r="U487" s="30"/>
    </row>
    <row r="489" spans="1:29">
      <c r="C489" t="str">
        <f>COVER!B155</f>
        <v>HLL</v>
      </c>
      <c r="D489" t="s">
        <v>523</v>
      </c>
      <c r="G489" s="13">
        <f>COVER!H155/1000</f>
        <v>8.5</v>
      </c>
      <c r="H489" s="13" t="s">
        <v>258</v>
      </c>
      <c r="I489" s="531" t="s">
        <v>93</v>
      </c>
    </row>
    <row r="490" spans="1:29" ht="15">
      <c r="C490" s="27" t="s">
        <v>698</v>
      </c>
      <c r="F490" s="13" t="s">
        <v>523</v>
      </c>
      <c r="G490" s="13">
        <v>0</v>
      </c>
      <c r="H490" s="13" t="s">
        <v>258</v>
      </c>
      <c r="I490" s="274"/>
      <c r="K490" s="13">
        <f>G491-(G489+G490)</f>
        <v>1</v>
      </c>
      <c r="L490" s="98" t="s">
        <v>699</v>
      </c>
      <c r="M490" s="274" t="str">
        <f>IF((R486)&lt;K490,"SO FREEBOARD REQUIREMENT HAS BEEN
SATISFIED","SO FREEBOARD REQUIREMENT HAS NOT BEEN
SATISFIED")</f>
        <v>SO FREEBOARD REQUIREMENT HAS BEEN
SATISFIED</v>
      </c>
      <c r="N490" s="274"/>
      <c r="O490" s="274"/>
      <c r="P490" s="274"/>
      <c r="Q490" s="274"/>
      <c r="R490" s="274"/>
      <c r="S490" s="274"/>
      <c r="T490" s="274"/>
      <c r="U490" s="274"/>
    </row>
    <row r="491" spans="1:29">
      <c r="C491" t="str">
        <f>COVER!B154</f>
        <v>Shell height</v>
      </c>
      <c r="E491" s="13" t="s">
        <v>523</v>
      </c>
      <c r="G491" s="13">
        <f>COVER!H154/1000</f>
        <v>9.5</v>
      </c>
      <c r="H491" s="13" t="s">
        <v>258</v>
      </c>
      <c r="I491" s="274"/>
      <c r="M491" s="274"/>
      <c r="N491" s="274"/>
      <c r="O491" s="274"/>
      <c r="P491" s="274"/>
      <c r="Q491" s="274"/>
      <c r="R491" s="274"/>
      <c r="S491" s="274"/>
      <c r="T491" s="274"/>
      <c r="U491" s="274"/>
    </row>
  </sheetData>
  <mergeCells count="611">
    <mergeCell ref="C230:H231"/>
    <mergeCell ref="T163:T164"/>
    <mergeCell ref="T195:U195"/>
    <mergeCell ref="F209:Q209"/>
    <mergeCell ref="L230:L231"/>
    <mergeCell ref="T312:T313"/>
    <mergeCell ref="A321:F322"/>
    <mergeCell ref="I321:J322"/>
    <mergeCell ref="B273:O274"/>
    <mergeCell ref="J253:Q257"/>
    <mergeCell ref="R253:T257"/>
    <mergeCell ref="R287:T288"/>
    <mergeCell ref="G321:H322"/>
    <mergeCell ref="G265:H265"/>
    <mergeCell ref="I265:J265"/>
    <mergeCell ref="K265:L265"/>
    <mergeCell ref="N265:O265"/>
    <mergeCell ref="R265:R266"/>
    <mergeCell ref="S265:S266"/>
    <mergeCell ref="A306:E311"/>
    <mergeCell ref="R306:V311"/>
    <mergeCell ref="B287:C288"/>
    <mergeCell ref="D287:Q288"/>
    <mergeCell ref="U265:V266"/>
    <mergeCell ref="R144:S145"/>
    <mergeCell ref="B149:O150"/>
    <mergeCell ref="P149:P150"/>
    <mergeCell ref="Q149:S150"/>
    <mergeCell ref="C181:G183"/>
    <mergeCell ref="A167:Q168"/>
    <mergeCell ref="A163:Q164"/>
    <mergeCell ref="R163:S164"/>
    <mergeCell ref="A169:K170"/>
    <mergeCell ref="B181:B183"/>
    <mergeCell ref="R167:S168"/>
    <mergeCell ref="R169:S170"/>
    <mergeCell ref="L169:N170"/>
    <mergeCell ref="B27:P27"/>
    <mergeCell ref="Q27:R27"/>
    <mergeCell ref="B31:P31"/>
    <mergeCell ref="Q31:R31"/>
    <mergeCell ref="B32:P32"/>
    <mergeCell ref="B83:R84"/>
    <mergeCell ref="A89:C89"/>
    <mergeCell ref="Q200:S200"/>
    <mergeCell ref="E200:G200"/>
    <mergeCell ref="H200:J200"/>
    <mergeCell ref="K200:M200"/>
    <mergeCell ref="N200:P200"/>
    <mergeCell ref="B179:G180"/>
    <mergeCell ref="H179:I180"/>
    <mergeCell ref="N198:P198"/>
    <mergeCell ref="E199:G199"/>
    <mergeCell ref="Q198:S198"/>
    <mergeCell ref="B200:D200"/>
    <mergeCell ref="H199:J199"/>
    <mergeCell ref="K199:M199"/>
    <mergeCell ref="N199:P199"/>
    <mergeCell ref="Q199:S199"/>
    <mergeCell ref="H197:J197"/>
    <mergeCell ref="B189:T190"/>
    <mergeCell ref="B25:P25"/>
    <mergeCell ref="Q35:R35"/>
    <mergeCell ref="B36:P36"/>
    <mergeCell ref="Q32:R32"/>
    <mergeCell ref="B81:R81"/>
    <mergeCell ref="D89:E89"/>
    <mergeCell ref="Q26:R26"/>
    <mergeCell ref="B33:P33"/>
    <mergeCell ref="Q33:R33"/>
    <mergeCell ref="F89:O89"/>
    <mergeCell ref="D88:E88"/>
    <mergeCell ref="F62:Q62"/>
    <mergeCell ref="B87:R87"/>
    <mergeCell ref="B34:P34"/>
    <mergeCell ref="Q34:R34"/>
    <mergeCell ref="B35:P35"/>
    <mergeCell ref="B82:R82"/>
    <mergeCell ref="B80:S80"/>
    <mergeCell ref="B79:N79"/>
    <mergeCell ref="O79:S79"/>
    <mergeCell ref="B85:R85"/>
    <mergeCell ref="F88:O88"/>
    <mergeCell ref="Q88:R88"/>
    <mergeCell ref="F57:Q61"/>
    <mergeCell ref="B20:P20"/>
    <mergeCell ref="Q24:R24"/>
    <mergeCell ref="Q20:R20"/>
    <mergeCell ref="B21:P21"/>
    <mergeCell ref="Q21:R21"/>
    <mergeCell ref="B16:P16"/>
    <mergeCell ref="Q16:R16"/>
    <mergeCell ref="B17:P17"/>
    <mergeCell ref="Q17:R17"/>
    <mergeCell ref="B18:P18"/>
    <mergeCell ref="Q18:R18"/>
    <mergeCell ref="Q19:R19"/>
    <mergeCell ref="B22:P22"/>
    <mergeCell ref="Q22:R22"/>
    <mergeCell ref="B23:P23"/>
    <mergeCell ref="Q23:R23"/>
    <mergeCell ref="B24:P24"/>
    <mergeCell ref="I63:J63"/>
    <mergeCell ref="K63:L63"/>
    <mergeCell ref="N63:O63"/>
    <mergeCell ref="R63:R64"/>
    <mergeCell ref="B86:R86"/>
    <mergeCell ref="I113:J113"/>
    <mergeCell ref="K113:L113"/>
    <mergeCell ref="N113:O113"/>
    <mergeCell ref="R113:R114"/>
    <mergeCell ref="B100:C100"/>
    <mergeCell ref="D100:G100"/>
    <mergeCell ref="H100:K100"/>
    <mergeCell ref="B101:C101"/>
    <mergeCell ref="D101:G101"/>
    <mergeCell ref="H101:K101"/>
    <mergeCell ref="B102:C102"/>
    <mergeCell ref="D102:G102"/>
    <mergeCell ref="H102:K102"/>
    <mergeCell ref="H103:K103"/>
    <mergeCell ref="A107:E112"/>
    <mergeCell ref="R107:V112"/>
    <mergeCell ref="B105:C105"/>
    <mergeCell ref="G114:H114"/>
    <mergeCell ref="I114:J114"/>
    <mergeCell ref="B142:M143"/>
    <mergeCell ref="N136:P137"/>
    <mergeCell ref="Q136:S137"/>
    <mergeCell ref="B127:C127"/>
    <mergeCell ref="D127:S127"/>
    <mergeCell ref="B128:C129"/>
    <mergeCell ref="D128:E129"/>
    <mergeCell ref="H128:I129"/>
    <mergeCell ref="J128:K129"/>
    <mergeCell ref="D134:E135"/>
    <mergeCell ref="H134:I135"/>
    <mergeCell ref="F134:F135"/>
    <mergeCell ref="G134:G135"/>
    <mergeCell ref="N132:P133"/>
    <mergeCell ref="Q132:S133"/>
    <mergeCell ref="J134:K135"/>
    <mergeCell ref="L134:M135"/>
    <mergeCell ref="F130:F131"/>
    <mergeCell ref="G130:G131"/>
    <mergeCell ref="Q130:S131"/>
    <mergeCell ref="F128:F129"/>
    <mergeCell ref="G128:G129"/>
    <mergeCell ref="N128:P129"/>
    <mergeCell ref="Q128:S129"/>
    <mergeCell ref="T265:T266"/>
    <mergeCell ref="T271:T272"/>
    <mergeCell ref="F264:Q264"/>
    <mergeCell ref="T248:T249"/>
    <mergeCell ref="R259:V264"/>
    <mergeCell ref="Q269:R270"/>
    <mergeCell ref="I246:J247"/>
    <mergeCell ref="B246:H247"/>
    <mergeCell ref="M246:R247"/>
    <mergeCell ref="S246:T247"/>
    <mergeCell ref="G266:H266"/>
    <mergeCell ref="I266:J266"/>
    <mergeCell ref="K266:L266"/>
    <mergeCell ref="L248:L249"/>
    <mergeCell ref="C248:H249"/>
    <mergeCell ref="I248:J249"/>
    <mergeCell ref="A259:E264"/>
    <mergeCell ref="B271:O272"/>
    <mergeCell ref="B250:T252"/>
    <mergeCell ref="A266:E266"/>
    <mergeCell ref="F259:Q263"/>
    <mergeCell ref="A265:E265"/>
    <mergeCell ref="A277:G278"/>
    <mergeCell ref="P273:S274"/>
    <mergeCell ref="N134:P135"/>
    <mergeCell ref="B132:C133"/>
    <mergeCell ref="F311:Q311"/>
    <mergeCell ref="A90:C90"/>
    <mergeCell ref="B223:S224"/>
    <mergeCell ref="B230:B231"/>
    <mergeCell ref="B202:G202"/>
    <mergeCell ref="N202:P202"/>
    <mergeCell ref="Q202:S202"/>
    <mergeCell ref="A204:E209"/>
    <mergeCell ref="R204:V209"/>
    <mergeCell ref="K179:Q180"/>
    <mergeCell ref="A159:K160"/>
    <mergeCell ref="N142:S143"/>
    <mergeCell ref="N130:P131"/>
    <mergeCell ref="B130:C131"/>
    <mergeCell ref="D130:E131"/>
    <mergeCell ref="H130:I131"/>
    <mergeCell ref="J130:K131"/>
    <mergeCell ref="L130:M131"/>
    <mergeCell ref="P97:Q97"/>
    <mergeCell ref="B134:C135"/>
    <mergeCell ref="U320:V320"/>
    <mergeCell ref="A335:O336"/>
    <mergeCell ref="P335:Q336"/>
    <mergeCell ref="I323:J323"/>
    <mergeCell ref="A323:H323"/>
    <mergeCell ref="U312:V313"/>
    <mergeCell ref="A313:E313"/>
    <mergeCell ref="G313:H313"/>
    <mergeCell ref="I313:J313"/>
    <mergeCell ref="K313:L313"/>
    <mergeCell ref="N313:O313"/>
    <mergeCell ref="K321:K323"/>
    <mergeCell ref="L321:O321"/>
    <mergeCell ref="U321:V321"/>
    <mergeCell ref="G320:H320"/>
    <mergeCell ref="A364:E369"/>
    <mergeCell ref="R364:V369"/>
    <mergeCell ref="F364:Q368"/>
    <mergeCell ref="A370:E370"/>
    <mergeCell ref="I413:M414"/>
    <mergeCell ref="P385:Q385"/>
    <mergeCell ref="R384:S384"/>
    <mergeCell ref="R385:S385"/>
    <mergeCell ref="P386:Q386"/>
    <mergeCell ref="B411:K412"/>
    <mergeCell ref="L411:M412"/>
    <mergeCell ref="B405:S406"/>
    <mergeCell ref="B407:S408"/>
    <mergeCell ref="R398:S398"/>
    <mergeCell ref="B413:H414"/>
    <mergeCell ref="P384:Q384"/>
    <mergeCell ref="R383:S383"/>
    <mergeCell ref="U370:V371"/>
    <mergeCell ref="P397:Q397"/>
    <mergeCell ref="B394:D394"/>
    <mergeCell ref="E394:G394"/>
    <mergeCell ref="B409:N410"/>
    <mergeCell ref="B386:O386"/>
    <mergeCell ref="B398:O398"/>
    <mergeCell ref="A337:R338"/>
    <mergeCell ref="S337:T338"/>
    <mergeCell ref="B387:I387"/>
    <mergeCell ref="K387:S387"/>
    <mergeCell ref="Q326:R327"/>
    <mergeCell ref="L332:L333"/>
    <mergeCell ref="P324:Q324"/>
    <mergeCell ref="K329:L330"/>
    <mergeCell ref="M329:M330"/>
    <mergeCell ref="N329:O330"/>
    <mergeCell ref="R332:S333"/>
    <mergeCell ref="I328:J331"/>
    <mergeCell ref="A332:K333"/>
    <mergeCell ref="P325:Q325"/>
    <mergeCell ref="A326:P327"/>
    <mergeCell ref="A324:M324"/>
    <mergeCell ref="N324:O324"/>
    <mergeCell ref="S326:S327"/>
    <mergeCell ref="A372:T373"/>
    <mergeCell ref="A374:K375"/>
    <mergeCell ref="J380:J381"/>
    <mergeCell ref="B383:O383"/>
    <mergeCell ref="B384:O384"/>
    <mergeCell ref="B385:O385"/>
    <mergeCell ref="A1:E6"/>
    <mergeCell ref="R1:V6"/>
    <mergeCell ref="A57:E62"/>
    <mergeCell ref="R57:V62"/>
    <mergeCell ref="B28:P28"/>
    <mergeCell ref="Q28:R28"/>
    <mergeCell ref="B29:P29"/>
    <mergeCell ref="Q29:R29"/>
    <mergeCell ref="B30:P30"/>
    <mergeCell ref="Q30:R30"/>
    <mergeCell ref="B37:S53"/>
    <mergeCell ref="F6:Q6"/>
    <mergeCell ref="T7:T8"/>
    <mergeCell ref="Q36:R36"/>
    <mergeCell ref="Q25:R25"/>
    <mergeCell ref="B26:P26"/>
    <mergeCell ref="F1:Q5"/>
    <mergeCell ref="A7:E7"/>
    <mergeCell ref="G7:H7"/>
    <mergeCell ref="A12:G13"/>
    <mergeCell ref="B14:S14"/>
    <mergeCell ref="B15:P15"/>
    <mergeCell ref="Q15:R15"/>
    <mergeCell ref="B19:P19"/>
    <mergeCell ref="K114:L114"/>
    <mergeCell ref="N114:O114"/>
    <mergeCell ref="F90:O90"/>
    <mergeCell ref="F112:Q112"/>
    <mergeCell ref="S113:S114"/>
    <mergeCell ref="B91:C91"/>
    <mergeCell ref="D91:E91"/>
    <mergeCell ref="H104:K104"/>
    <mergeCell ref="H105:K105"/>
    <mergeCell ref="D103:G103"/>
    <mergeCell ref="D104:G104"/>
    <mergeCell ref="D105:G105"/>
    <mergeCell ref="L99:U105"/>
    <mergeCell ref="I230:J231"/>
    <mergeCell ref="S230:S231"/>
    <mergeCell ref="M248:M249"/>
    <mergeCell ref="D99:G99"/>
    <mergeCell ref="H99:K99"/>
    <mergeCell ref="F156:Q156"/>
    <mergeCell ref="B99:C99"/>
    <mergeCell ref="L136:M137"/>
    <mergeCell ref="M228:Q229"/>
    <mergeCell ref="N248:S249"/>
    <mergeCell ref="B233:R235"/>
    <mergeCell ref="J236:J239"/>
    <mergeCell ref="K236:R239"/>
    <mergeCell ref="S236:T239"/>
    <mergeCell ref="B144:Q145"/>
    <mergeCell ref="B138:C139"/>
    <mergeCell ref="D138:E139"/>
    <mergeCell ref="H138:I139"/>
    <mergeCell ref="J138:K139"/>
    <mergeCell ref="T113:T114"/>
    <mergeCell ref="T128:V129"/>
    <mergeCell ref="B122:S122"/>
    <mergeCell ref="U113:V114"/>
    <mergeCell ref="A114:E114"/>
    <mergeCell ref="B136:C137"/>
    <mergeCell ref="R151:V156"/>
    <mergeCell ref="T157:T158"/>
    <mergeCell ref="F151:Q155"/>
    <mergeCell ref="L128:M129"/>
    <mergeCell ref="A157:E157"/>
    <mergeCell ref="G157:H157"/>
    <mergeCell ref="I157:J157"/>
    <mergeCell ref="K157:L157"/>
    <mergeCell ref="R157:R158"/>
    <mergeCell ref="S157:S158"/>
    <mergeCell ref="J132:K133"/>
    <mergeCell ref="Q138:S139"/>
    <mergeCell ref="L132:M133"/>
    <mergeCell ref="D132:E133"/>
    <mergeCell ref="H132:I133"/>
    <mergeCell ref="F132:F133"/>
    <mergeCell ref="G132:G133"/>
    <mergeCell ref="Q134:S135"/>
    <mergeCell ref="F136:F137"/>
    <mergeCell ref="G136:G137"/>
    <mergeCell ref="D136:E137"/>
    <mergeCell ref="H136:I137"/>
    <mergeCell ref="J136:K137"/>
    <mergeCell ref="F204:Q208"/>
    <mergeCell ref="A165:L166"/>
    <mergeCell ref="R165:S166"/>
    <mergeCell ref="A161:Q162"/>
    <mergeCell ref="R161:S162"/>
    <mergeCell ref="B195:D195"/>
    <mergeCell ref="B191:Q192"/>
    <mergeCell ref="R181:S183"/>
    <mergeCell ref="B196:D196"/>
    <mergeCell ref="H195:J195"/>
    <mergeCell ref="K195:M195"/>
    <mergeCell ref="N195:P195"/>
    <mergeCell ref="B187:Q188"/>
    <mergeCell ref="E196:G196"/>
    <mergeCell ref="E198:G198"/>
    <mergeCell ref="B199:D199"/>
    <mergeCell ref="B198:D198"/>
    <mergeCell ref="K181:K183"/>
    <mergeCell ref="K198:M198"/>
    <mergeCell ref="B197:D197"/>
    <mergeCell ref="E197:G197"/>
    <mergeCell ref="T202:U202"/>
    <mergeCell ref="H202:J202"/>
    <mergeCell ref="K202:M202"/>
    <mergeCell ref="T197:U197"/>
    <mergeCell ref="T198:U198"/>
    <mergeCell ref="T199:U199"/>
    <mergeCell ref="N197:P197"/>
    <mergeCell ref="Q197:S197"/>
    <mergeCell ref="H198:J198"/>
    <mergeCell ref="T200:U200"/>
    <mergeCell ref="F138:F139"/>
    <mergeCell ref="N138:P139"/>
    <mergeCell ref="X485:AC485"/>
    <mergeCell ref="M490:U491"/>
    <mergeCell ref="A431:E436"/>
    <mergeCell ref="R431:V436"/>
    <mergeCell ref="O486:P487"/>
    <mergeCell ref="Q486:Q487"/>
    <mergeCell ref="R486:S487"/>
    <mergeCell ref="B473:E473"/>
    <mergeCell ref="H472:K472"/>
    <mergeCell ref="H473:K473"/>
    <mergeCell ref="C470:E471"/>
    <mergeCell ref="F470:G471"/>
    <mergeCell ref="C486:D487"/>
    <mergeCell ref="E486:F487"/>
    <mergeCell ref="G486:G487"/>
    <mergeCell ref="H486:I487"/>
    <mergeCell ref="J486:K487"/>
    <mergeCell ref="L486:L487"/>
    <mergeCell ref="T437:T438"/>
    <mergeCell ref="A444:T445"/>
    <mergeCell ref="T165:T166"/>
    <mergeCell ref="T193:T194"/>
    <mergeCell ref="T486:T487"/>
    <mergeCell ref="I489:I491"/>
    <mergeCell ref="A441:T443"/>
    <mergeCell ref="M486:N487"/>
    <mergeCell ref="P398:Q398"/>
    <mergeCell ref="B395:D395"/>
    <mergeCell ref="E395:G395"/>
    <mergeCell ref="P383:Q383"/>
    <mergeCell ref="R402:S403"/>
    <mergeCell ref="B397:O397"/>
    <mergeCell ref="F436:Q436"/>
    <mergeCell ref="B400:E401"/>
    <mergeCell ref="F400:Q401"/>
    <mergeCell ref="B399:S399"/>
    <mergeCell ref="B402:E403"/>
    <mergeCell ref="F402:Q403"/>
    <mergeCell ref="B415:S415"/>
    <mergeCell ref="B416:S417"/>
    <mergeCell ref="B418:S419"/>
    <mergeCell ref="G446:G447"/>
    <mergeCell ref="L422:M423"/>
    <mergeCell ref="N422:O423"/>
    <mergeCell ref="Q420:R421"/>
    <mergeCell ref="B422:K423"/>
    <mergeCell ref="N420:N421"/>
    <mergeCell ref="B472:E472"/>
    <mergeCell ref="I470:K471"/>
    <mergeCell ref="L470:O471"/>
    <mergeCell ref="B420:K421"/>
    <mergeCell ref="O420:P421"/>
    <mergeCell ref="B460:N460"/>
    <mergeCell ref="A448:T448"/>
    <mergeCell ref="H470:H471"/>
    <mergeCell ref="A446:D447"/>
    <mergeCell ref="E446:F447"/>
    <mergeCell ref="A439:N440"/>
    <mergeCell ref="F431:Q435"/>
    <mergeCell ref="A437:E437"/>
    <mergeCell ref="G437:H437"/>
    <mergeCell ref="I437:J437"/>
    <mergeCell ref="K437:L437"/>
    <mergeCell ref="N437:O437"/>
    <mergeCell ref="R437:R438"/>
    <mergeCell ref="S437:S438"/>
    <mergeCell ref="B424:S424"/>
    <mergeCell ref="B425:S427"/>
    <mergeCell ref="I7:J7"/>
    <mergeCell ref="K7:L7"/>
    <mergeCell ref="N7:O7"/>
    <mergeCell ref="R7:R8"/>
    <mergeCell ref="S7:S8"/>
    <mergeCell ref="U7:V8"/>
    <mergeCell ref="A8:E8"/>
    <mergeCell ref="G8:H8"/>
    <mergeCell ref="I8:J8"/>
    <mergeCell ref="K8:L8"/>
    <mergeCell ref="N8:O8"/>
    <mergeCell ref="S63:S64"/>
    <mergeCell ref="U63:V64"/>
    <mergeCell ref="A64:E64"/>
    <mergeCell ref="G64:H64"/>
    <mergeCell ref="I64:J64"/>
    <mergeCell ref="K64:L64"/>
    <mergeCell ref="N64:O64"/>
    <mergeCell ref="F107:Q111"/>
    <mergeCell ref="A113:E113"/>
    <mergeCell ref="G113:H113"/>
    <mergeCell ref="T63:T64"/>
    <mergeCell ref="R97:S97"/>
    <mergeCell ref="F91:O91"/>
    <mergeCell ref="B94:O97"/>
    <mergeCell ref="B103:C103"/>
    <mergeCell ref="B104:C104"/>
    <mergeCell ref="B92:O93"/>
    <mergeCell ref="S89:T89"/>
    <mergeCell ref="S90:T90"/>
    <mergeCell ref="Q90:R90"/>
    <mergeCell ref="Q89:R89"/>
    <mergeCell ref="D90:E90"/>
    <mergeCell ref="A63:E63"/>
    <mergeCell ref="G63:H63"/>
    <mergeCell ref="U157:V158"/>
    <mergeCell ref="A158:E158"/>
    <mergeCell ref="G158:H158"/>
    <mergeCell ref="I158:J158"/>
    <mergeCell ref="K158:L158"/>
    <mergeCell ref="N158:O158"/>
    <mergeCell ref="T130:U131"/>
    <mergeCell ref="T132:U133"/>
    <mergeCell ref="T134:U135"/>
    <mergeCell ref="T136:U137"/>
    <mergeCell ref="T138:U139"/>
    <mergeCell ref="B146:E146"/>
    <mergeCell ref="C147:D147"/>
    <mergeCell ref="C148:D148"/>
    <mergeCell ref="G147:H147"/>
    <mergeCell ref="A151:E156"/>
    <mergeCell ref="N157:O157"/>
    <mergeCell ref="V130:V131"/>
    <mergeCell ref="V132:V133"/>
    <mergeCell ref="V134:V135"/>
    <mergeCell ref="V136:V137"/>
    <mergeCell ref="V138:V139"/>
    <mergeCell ref="L138:M139"/>
    <mergeCell ref="G138:G139"/>
    <mergeCell ref="T161:T162"/>
    <mergeCell ref="H181:I183"/>
    <mergeCell ref="R179:S180"/>
    <mergeCell ref="L181:Q183"/>
    <mergeCell ref="K197:M197"/>
    <mergeCell ref="R191:S192"/>
    <mergeCell ref="K196:M196"/>
    <mergeCell ref="N196:P196"/>
    <mergeCell ref="Q196:S196"/>
    <mergeCell ref="H196:J196"/>
    <mergeCell ref="R193:S194"/>
    <mergeCell ref="T196:U196"/>
    <mergeCell ref="Q195:S195"/>
    <mergeCell ref="B193:Q194"/>
    <mergeCell ref="E195:G195"/>
    <mergeCell ref="T167:T168"/>
    <mergeCell ref="T187:T188"/>
    <mergeCell ref="T191:T192"/>
    <mergeCell ref="J181:J183"/>
    <mergeCell ref="B185:S186"/>
    <mergeCell ref="R187:S188"/>
    <mergeCell ref="U210:V211"/>
    <mergeCell ref="A211:E211"/>
    <mergeCell ref="G211:H211"/>
    <mergeCell ref="I211:J211"/>
    <mergeCell ref="K211:L211"/>
    <mergeCell ref="N211:O211"/>
    <mergeCell ref="A210:E210"/>
    <mergeCell ref="G210:H210"/>
    <mergeCell ref="I210:J210"/>
    <mergeCell ref="K210:L210"/>
    <mergeCell ref="N210:O210"/>
    <mergeCell ref="R210:R211"/>
    <mergeCell ref="S210:S211"/>
    <mergeCell ref="T210:T211"/>
    <mergeCell ref="R214:T216"/>
    <mergeCell ref="I212:J213"/>
    <mergeCell ref="K212:L213"/>
    <mergeCell ref="R228:S229"/>
    <mergeCell ref="A282:G283"/>
    <mergeCell ref="D280:Q281"/>
    <mergeCell ref="R280:T281"/>
    <mergeCell ref="P271:S272"/>
    <mergeCell ref="B214:Q216"/>
    <mergeCell ref="B280:C281"/>
    <mergeCell ref="I228:J229"/>
    <mergeCell ref="B267:S268"/>
    <mergeCell ref="B269:K270"/>
    <mergeCell ref="N266:O266"/>
    <mergeCell ref="A275:L276"/>
    <mergeCell ref="M230:R231"/>
    <mergeCell ref="D212:F213"/>
    <mergeCell ref="A212:C213"/>
    <mergeCell ref="T273:T274"/>
    <mergeCell ref="L269:P270"/>
    <mergeCell ref="B248:B249"/>
    <mergeCell ref="B217:T218"/>
    <mergeCell ref="B240:S241"/>
    <mergeCell ref="B228:H229"/>
    <mergeCell ref="T370:T371"/>
    <mergeCell ref="F306:Q310"/>
    <mergeCell ref="A312:E312"/>
    <mergeCell ref="G312:H312"/>
    <mergeCell ref="I312:J312"/>
    <mergeCell ref="K312:L312"/>
    <mergeCell ref="N312:O312"/>
    <mergeCell ref="R312:R313"/>
    <mergeCell ref="S312:S313"/>
    <mergeCell ref="B349:S349"/>
    <mergeCell ref="I370:J370"/>
    <mergeCell ref="K370:L370"/>
    <mergeCell ref="N370:O370"/>
    <mergeCell ref="R370:R371"/>
    <mergeCell ref="S370:S371"/>
    <mergeCell ref="A371:E371"/>
    <mergeCell ref="G371:H371"/>
    <mergeCell ref="I371:J371"/>
    <mergeCell ref="K371:L371"/>
    <mergeCell ref="N371:O371"/>
    <mergeCell ref="B350:S351"/>
    <mergeCell ref="F369:Q369"/>
    <mergeCell ref="A314:N315"/>
    <mergeCell ref="A316:T318"/>
    <mergeCell ref="U437:V438"/>
    <mergeCell ref="A438:E438"/>
    <mergeCell ref="G438:H438"/>
    <mergeCell ref="I438:J438"/>
    <mergeCell ref="K438:L438"/>
    <mergeCell ref="N438:O438"/>
    <mergeCell ref="B140:C141"/>
    <mergeCell ref="D140:E141"/>
    <mergeCell ref="F140:F141"/>
    <mergeCell ref="G140:G141"/>
    <mergeCell ref="H140:I141"/>
    <mergeCell ref="J140:K141"/>
    <mergeCell ref="L140:M141"/>
    <mergeCell ref="N140:P141"/>
    <mergeCell ref="Q140:S141"/>
    <mergeCell ref="T140:U141"/>
    <mergeCell ref="V140:V141"/>
    <mergeCell ref="B201:D201"/>
    <mergeCell ref="E201:G201"/>
    <mergeCell ref="H201:J201"/>
    <mergeCell ref="K201:M201"/>
    <mergeCell ref="N201:P201"/>
    <mergeCell ref="Q201:S201"/>
    <mergeCell ref="G370:H370"/>
  </mergeCells>
  <phoneticPr fontId="43" type="noConversion"/>
  <conditionalFormatting sqref="B99:B105">
    <cfRule type="containsText" dxfId="53" priority="26" operator="containsText" text="no">
      <formula>NOT(ISERROR(SEARCH("no",B99)))</formula>
    </cfRule>
  </conditionalFormatting>
  <conditionalFormatting sqref="B387:I387">
    <cfRule type="containsText" dxfId="52" priority="10" operator="containsText" text="no">
      <formula>NOT(ISERROR(SEARCH("no",B387)))</formula>
    </cfRule>
  </conditionalFormatting>
  <conditionalFormatting sqref="B416:S417">
    <cfRule type="containsText" dxfId="51" priority="42" operator="containsText" text="Vs &gt; V so Tank is stable against Seismic Sliding">
      <formula>NOT(ISERROR(SEARCH("Vs &gt; V so Tank is stable against Seismic Sliding",B416)))</formula>
    </cfRule>
    <cfRule type="containsText" dxfId="50" priority="41" operator="containsText" text="Vs &lt; V so Tank is not stable against Seismic Sliding">
      <formula>NOT(ISERROR(SEARCH("Vs &lt; V so Tank is not stable against Seismic Sliding",B416)))</formula>
    </cfRule>
  </conditionalFormatting>
  <conditionalFormatting sqref="B425:S427">
    <cfRule type="containsText" dxfId="49" priority="0" operator="containsText" text="Since Shear Stress is not  Less than Shear Allowable Stress, So Local Shear Transfer is not ok">
      <formula>NOT(ISERROR(SEARCH("Since Shear Stress is not  Less than Shear Allowable Stress, So Local Shear Transfer is not ok",B425)))</formula>
    </cfRule>
    <cfRule type="containsText" dxfId="48" priority="40" operator="containsText" text="Since Shear Stress is Less than Shear Allowable Stress, So Local Shear Transfer is ok">
      <formula>NOT(ISERROR(SEARCH("Since Shear Stress is Less than Shear Allowable Stress, So Local Shear Transfer is ok",B425)))</formula>
    </cfRule>
  </conditionalFormatting>
  <conditionalFormatting sqref="F400:Q404">
    <cfRule type="containsText" dxfId="47" priority="43" operator="containsText" text="Not Ok">
      <formula>NOT(ISERROR(SEARCH("Not Ok",F400)))</formula>
    </cfRule>
    <cfRule type="containsText" dxfId="46" priority="44" operator="containsText" text="ok">
      <formula>NOT(ISERROR(SEARCH("ok",F400)))</formula>
    </cfRule>
  </conditionalFormatting>
  <conditionalFormatting sqref="G320:H320">
    <cfRule type="containsText" dxfId="45" priority="2" operator="containsText" text="NO">
      <formula>NOT(ISERROR(SEARCH("NO",G320)))</formula>
    </cfRule>
    <cfRule type="containsText" dxfId="44" priority="12" operator="containsText" text="YES">
      <formula>NOT(ISERROR(SEARCH("YES",G320)))</formula>
    </cfRule>
  </conditionalFormatting>
  <conditionalFormatting sqref="H179:I180">
    <cfRule type="containsText" dxfId="43" priority="32" operator="containsText" text="NO">
      <formula>NOT(ISERROR(SEARCH("NO",H179)))</formula>
    </cfRule>
    <cfRule type="containsText" dxfId="42" priority="20" operator="containsText" text="yes">
      <formula>NOT(ISERROR(SEARCH("yes",H179)))</formula>
    </cfRule>
  </conditionalFormatting>
  <conditionalFormatting sqref="I228:J229">
    <cfRule type="containsText" dxfId="41" priority="34" operator="containsText" text="no">
      <formula>NOT(ISERROR(SEARCH("no",I228)))</formula>
    </cfRule>
    <cfRule type="containsText" dxfId="40" priority="18" operator="containsText" text="yes">
      <formula>NOT(ISERROR(SEARCH("yes",I228)))</formula>
    </cfRule>
  </conditionalFormatting>
  <conditionalFormatting sqref="I246:J247">
    <cfRule type="containsText" dxfId="39" priority="35" operator="containsText" text="no">
      <formula>NOT(ISERROR(SEARCH("no",I246)))</formula>
    </cfRule>
    <cfRule type="containsText" dxfId="38" priority="16" operator="containsText" text="yes">
      <formula>NOT(ISERROR(SEARCH("yes",I246)))</formula>
    </cfRule>
  </conditionalFormatting>
  <conditionalFormatting sqref="K387">
    <cfRule type="containsText" dxfId="37" priority="9" operator="containsText" text="yes">
      <formula>NOT(ISERROR(SEARCH("yes",K387)))</formula>
    </cfRule>
  </conditionalFormatting>
  <conditionalFormatting sqref="L169:N170">
    <cfRule type="containsText" dxfId="36" priority="47" operator="containsText" text="E.6.1.1-2">
      <formula>NOT(ISERROR(SEARCH("E.6.1.1-2",L169)))</formula>
    </cfRule>
    <cfRule type="containsText" dxfId="35" priority="48" operator="containsText" text="E.6.1.1-1">
      <formula>NOT(ISERROR(SEARCH("E.6.1.1-1",L169)))</formula>
    </cfRule>
  </conditionalFormatting>
  <conditionalFormatting sqref="M472">
    <cfRule type="containsText" dxfId="34" priority="7" operator="containsText" text="no">
      <formula>NOT(ISERROR(SEARCH("no",M472)))</formula>
    </cfRule>
    <cfRule type="containsText" dxfId="33" priority="8" operator="containsText" text="YES">
      <formula>NOT(ISERROR(SEARCH("YES",M472)))</formula>
    </cfRule>
  </conditionalFormatting>
  <conditionalFormatting sqref="M473">
    <cfRule type="containsText" dxfId="32" priority="5" operator="containsText" text="yes">
      <formula>NOT(ISERROR(SEARCH("yes",M473)))</formula>
    </cfRule>
    <cfRule type="containsText" dxfId="31" priority="6" operator="containsText" text="NO">
      <formula>NOT(ISERROR(SEARCH("NO",M473)))</formula>
    </cfRule>
  </conditionalFormatting>
  <conditionalFormatting sqref="M490">
    <cfRule type="containsText" dxfId="30" priority="23" operator="containsText" text="SO FREEBOARD REQUIREMENT HAS BEEN SATISFIED">
      <formula>NOT(ISERROR(SEARCH("SO FREEBOARD REQUIREMENT HAS BEEN SATISFIED",M490)))</formula>
    </cfRule>
  </conditionalFormatting>
  <conditionalFormatting sqref="M490:U491">
    <cfRule type="containsText" dxfId="29" priority="21" operator="containsText" text="SO FREEBOARD REQUIREMENT HAS BEEN SATISFIED">
      <formula>NOT(ISERROR(SEARCH("SO FREEBOARD REQUIREMENT HAS BEEN SATISFIED",M490)))</formula>
    </cfRule>
  </conditionalFormatting>
  <conditionalFormatting sqref="Q149:S150">
    <cfRule type="containsText" dxfId="28" priority="49" operator="containsText" text="NOT OK">
      <formula>NOT(ISERROR(SEARCH("NOT OK",Q149)))</formula>
    </cfRule>
    <cfRule type="containsText" dxfId="27" priority="50" operator="containsText" text="ok">
      <formula>NOT(ISERROR(SEARCH("ok",Q149)))</formula>
    </cfRule>
  </conditionalFormatting>
  <conditionalFormatting sqref="R179:S180">
    <cfRule type="containsText" dxfId="26" priority="19" operator="containsText" text="no">
      <formula>NOT(ISERROR(SEARCH("no",R179)))</formula>
    </cfRule>
    <cfRule type="containsText" dxfId="25" priority="31" operator="containsText" text="YES">
      <formula>NOT(ISERROR(SEARCH("YES",R179)))</formula>
    </cfRule>
  </conditionalFormatting>
  <conditionalFormatting sqref="R228:S229">
    <cfRule type="containsText" dxfId="24" priority="33" operator="containsText" text="yes">
      <formula>NOT(ISERROR(SEARCH("yes",R228)))</formula>
    </cfRule>
    <cfRule type="containsText" dxfId="23" priority="17" operator="containsText" text="no">
      <formula>NOT(ISERROR(SEARCH("no",R228)))</formula>
    </cfRule>
  </conditionalFormatting>
  <conditionalFormatting sqref="R214:T216">
    <cfRule type="cellIs" dxfId="22" priority="45" operator="greaterThan">
      <formula>"E.6.1.2.2-2"</formula>
    </cfRule>
    <cfRule type="containsText" dxfId="21" priority="46" operator="containsText" text="E.6.1.2.2-1">
      <formula>NOT(ISERROR(SEARCH("E.6.1.2.2-1",R214)))</formula>
    </cfRule>
  </conditionalFormatting>
  <conditionalFormatting sqref="S89:T89">
    <cfRule type="containsText" dxfId="20" priority="13" operator="containsText" text="NO">
      <formula>NOT(ISERROR(SEARCH("NO",S89)))</formula>
    </cfRule>
  </conditionalFormatting>
  <conditionalFormatting sqref="S89:T90">
    <cfRule type="containsText" dxfId="19" priority="4" operator="containsText" text="YES">
      <formula>NOT(ISERROR(SEARCH("YES",S89)))</formula>
    </cfRule>
  </conditionalFormatting>
  <conditionalFormatting sqref="S90:T90">
    <cfRule type="containsText" dxfId="18" priority="3" operator="containsText" text="NO">
      <formula>NOT(ISERROR(SEARCH("NO",S90)))</formula>
    </cfRule>
  </conditionalFormatting>
  <conditionalFormatting sqref="S246:T247">
    <cfRule type="containsText" dxfId="17" priority="36" operator="containsText" text="yes">
      <formula>NOT(ISERROR(SEARCH("yes",S246)))</formula>
    </cfRule>
    <cfRule type="containsText" dxfId="16" priority="15" operator="containsText" text="no">
      <formula>NOT(ISERROR(SEARCH("no",S246)))</formula>
    </cfRule>
  </conditionalFormatting>
  <conditionalFormatting sqref="U320:V320">
    <cfRule type="containsText" dxfId="15" priority="11" operator="containsText" text="NO">
      <formula>NOT(ISERROR(SEARCH("NO",U320)))</formula>
    </cfRule>
    <cfRule type="containsText" dxfId="14" priority="1" operator="containsText" text="YES">
      <formula>NOT(ISERROR(SEARCH("YES",U320)))</formula>
    </cfRule>
  </conditionalFormatting>
  <conditionalFormatting sqref="V130:V141">
    <cfRule type="containsText" dxfId="13" priority="39" operator="containsText" text="ok">
      <formula>NOT(ISERROR(SEARCH("ok",V130)))</formula>
    </cfRule>
  </conditionalFormatting>
  <printOptions horizontalCentered="1"/>
  <pageMargins left="9.8425196850393706E-2" right="9.8425196850393706E-2" top="0.19685039370078741" bottom="0" header="0.11811023622047245" footer="0.11811023622047245"/>
  <pageSetup paperSize="9" scale="78" orientation="portrait" r:id="rId1"/>
  <rowBreaks count="8" manualBreakCount="8">
    <brk id="56" max="21" man="1"/>
    <brk id="106" max="21" man="1"/>
    <brk id="150" max="16383" man="1"/>
    <brk id="203" max="21" man="1"/>
    <brk id="258" max="21" man="1"/>
    <brk id="305" max="21" man="1"/>
    <brk id="363" max="21" man="1"/>
    <brk id="430" max="2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V233"/>
  <sheetViews>
    <sheetView view="pageBreakPreview" topLeftCell="A37" zoomScaleNormal="100" zoomScaleSheetLayoutView="100" workbookViewId="0">
      <selection activeCell="F37" sqref="F37"/>
    </sheetView>
  </sheetViews>
  <sheetFormatPr defaultRowHeight="14.25"/>
  <cols>
    <col min="1" max="15" width="5.75" customWidth="1"/>
    <col min="16" max="16" width="8.25" customWidth="1"/>
    <col min="17" max="18" width="5.75" customWidth="1"/>
    <col min="19" max="19" width="8.75" customWidth="1"/>
    <col min="20"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2.9"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17.4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'Seismic design2007'!R437</f>
        <v>29</v>
      </c>
      <c r="S7" s="174" t="s">
        <v>752</v>
      </c>
      <c r="T7" s="263">
        <f>'Seismic design2007'!T437+1</f>
        <v>25</v>
      </c>
      <c r="U7" s="168" t="s">
        <v>753</v>
      </c>
      <c r="V7" s="188"/>
    </row>
    <row r="8" spans="1:22" ht="17.45"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'Seismic design2007'!Q438</f>
        <v>V01</v>
      </c>
      <c r="R8" s="173"/>
      <c r="S8" s="175"/>
      <c r="T8" s="264"/>
      <c r="U8" s="189"/>
      <c r="V8" s="190"/>
    </row>
    <row r="9" spans="1:22" ht="15">
      <c r="A9" s="393" t="s">
        <v>640</v>
      </c>
      <c r="B9" s="393"/>
      <c r="C9" s="393"/>
      <c r="D9" s="393"/>
      <c r="E9" s="393"/>
      <c r="F9" s="393"/>
      <c r="G9" s="393"/>
      <c r="H9" s="393"/>
      <c r="I9" s="393"/>
      <c r="J9" s="393"/>
      <c r="K9" s="30"/>
      <c r="L9" s="30"/>
      <c r="M9" s="30"/>
      <c r="N9" s="30"/>
      <c r="O9" s="30"/>
      <c r="P9" s="30"/>
      <c r="Q9" s="30"/>
      <c r="R9" s="30"/>
      <c r="S9" s="30"/>
      <c r="T9" s="30"/>
      <c r="U9" s="30"/>
    </row>
    <row r="10" spans="1:22" ht="15">
      <c r="A10" s="393"/>
      <c r="B10" s="393"/>
      <c r="C10" s="393"/>
      <c r="D10" s="393"/>
      <c r="E10" s="393"/>
      <c r="F10" s="393"/>
      <c r="G10" s="393"/>
      <c r="H10" s="393"/>
      <c r="I10" s="393"/>
      <c r="J10" s="393"/>
      <c r="K10" s="30"/>
      <c r="L10" s="30"/>
      <c r="M10" s="30"/>
      <c r="N10" s="30"/>
      <c r="O10" s="30"/>
      <c r="P10" s="30"/>
      <c r="Q10" s="30"/>
      <c r="R10" s="30"/>
      <c r="S10" s="30"/>
      <c r="T10" s="30"/>
      <c r="U10" s="30"/>
    </row>
    <row r="11" spans="1:22" ht="15">
      <c r="A11" s="30"/>
      <c r="B11" s="30"/>
      <c r="C11" s="30"/>
      <c r="D11" s="30"/>
      <c r="E11" s="30"/>
      <c r="F11" s="30"/>
      <c r="G11" s="30"/>
      <c r="H11" s="30"/>
      <c r="I11" s="30"/>
      <c r="J11" s="30"/>
      <c r="K11" s="30"/>
      <c r="L11" s="30"/>
      <c r="M11" s="30"/>
      <c r="N11" s="30"/>
      <c r="O11" s="30"/>
      <c r="P11" s="30"/>
      <c r="Q11" s="30"/>
      <c r="R11" s="30"/>
      <c r="S11" s="30"/>
      <c r="T11" s="30"/>
      <c r="U11" s="30"/>
    </row>
    <row r="12" spans="1:22" ht="15">
      <c r="A12" s="30"/>
      <c r="B12" s="30"/>
      <c r="C12" s="30"/>
      <c r="D12" s="30"/>
      <c r="E12" s="30"/>
      <c r="F12" s="30"/>
      <c r="G12" s="30"/>
      <c r="H12" s="30"/>
      <c r="I12" s="30"/>
      <c r="J12" s="30"/>
      <c r="K12" s="30"/>
      <c r="L12" s="30"/>
      <c r="M12" s="30"/>
      <c r="N12" s="30"/>
      <c r="O12" s="30"/>
      <c r="P12" s="30"/>
      <c r="Q12" s="30"/>
      <c r="R12" s="30"/>
      <c r="S12" s="30"/>
      <c r="T12" s="30"/>
      <c r="U12" s="30"/>
    </row>
    <row r="13" spans="1:22" ht="15">
      <c r="A13" s="30"/>
      <c r="B13" s="30"/>
      <c r="C13" s="30"/>
      <c r="D13" s="30"/>
      <c r="E13" s="30"/>
      <c r="F13" s="30"/>
      <c r="G13" s="30"/>
      <c r="H13" s="30"/>
      <c r="I13" s="30"/>
      <c r="J13" s="30"/>
      <c r="K13" s="30"/>
      <c r="L13" s="30"/>
      <c r="M13" s="30"/>
      <c r="N13" s="30"/>
      <c r="O13" s="30"/>
      <c r="P13" s="30"/>
      <c r="Q13" s="30"/>
      <c r="R13" s="30"/>
      <c r="S13" s="30"/>
      <c r="T13" s="30"/>
      <c r="U13" s="30"/>
    </row>
    <row r="14" spans="1:22" ht="15">
      <c r="A14" s="30"/>
      <c r="B14" s="30"/>
      <c r="C14" s="30"/>
      <c r="D14" s="30"/>
      <c r="E14" s="30"/>
      <c r="F14" s="30"/>
      <c r="G14" s="30"/>
      <c r="H14" s="30"/>
      <c r="I14" s="30"/>
      <c r="J14" s="30"/>
      <c r="K14" s="30"/>
      <c r="L14" s="30"/>
      <c r="M14" s="30"/>
      <c r="N14" s="30"/>
      <c r="O14" s="30"/>
      <c r="P14" s="30"/>
      <c r="Q14" s="30"/>
      <c r="R14" s="30"/>
      <c r="S14" s="30"/>
      <c r="T14" s="30"/>
      <c r="U14" s="30"/>
    </row>
    <row r="15" spans="1:22" ht="15">
      <c r="A15" s="30"/>
      <c r="B15" s="30"/>
      <c r="C15" s="30"/>
      <c r="D15" s="30"/>
      <c r="E15" s="30"/>
      <c r="F15" s="30"/>
      <c r="G15" s="30"/>
      <c r="H15" s="30"/>
      <c r="I15" s="30"/>
      <c r="J15" s="30"/>
      <c r="K15" s="30"/>
      <c r="L15" s="30"/>
      <c r="M15" s="30"/>
      <c r="N15" s="30"/>
      <c r="O15" s="30"/>
      <c r="P15" s="30"/>
      <c r="Q15" s="30"/>
      <c r="R15" s="30"/>
      <c r="S15" s="30"/>
      <c r="T15" s="30"/>
      <c r="U15" s="30"/>
    </row>
    <row r="16" spans="1:22" ht="409.5">
      <c r="A16" s="157" t="s">
        <v>901</v>
      </c>
      <c r="B16" s="30"/>
      <c r="C16" s="30"/>
      <c r="D16" s="30"/>
      <c r="E16" s="30"/>
      <c r="F16" s="30"/>
      <c r="G16" s="30"/>
      <c r="H16" s="30"/>
      <c r="I16" s="30"/>
      <c r="J16" s="30"/>
      <c r="K16" s="30"/>
      <c r="L16" s="30"/>
      <c r="M16" s="30"/>
      <c r="N16" s="30"/>
      <c r="O16" s="30"/>
      <c r="P16" s="30"/>
      <c r="Q16" s="30"/>
      <c r="R16" s="30"/>
      <c r="S16" s="30"/>
      <c r="T16" s="30"/>
      <c r="U16" s="30"/>
    </row>
    <row r="17" spans="1:21" ht="15">
      <c r="A17" s="30"/>
      <c r="B17" s="30"/>
      <c r="C17" s="30"/>
      <c r="D17" s="30"/>
      <c r="E17" s="30"/>
      <c r="F17" s="30"/>
      <c r="G17" s="30"/>
      <c r="H17" s="30"/>
      <c r="I17" s="30"/>
      <c r="J17" s="30"/>
      <c r="K17" s="30"/>
      <c r="L17" s="30"/>
      <c r="M17" s="30"/>
      <c r="N17" s="30"/>
      <c r="O17" s="30"/>
      <c r="P17" s="30"/>
      <c r="Q17" s="30"/>
      <c r="R17" s="30"/>
      <c r="S17" s="30"/>
      <c r="T17" s="30"/>
      <c r="U17" s="30"/>
    </row>
    <row r="18" spans="1:21" ht="15">
      <c r="A18" s="30"/>
      <c r="B18" s="30"/>
      <c r="C18" s="30"/>
      <c r="D18" s="30"/>
      <c r="E18" s="30"/>
      <c r="F18" s="30"/>
      <c r="G18" s="30"/>
      <c r="H18" s="30"/>
      <c r="I18" s="30"/>
      <c r="J18" s="30"/>
      <c r="K18" s="30"/>
      <c r="L18" s="30"/>
      <c r="M18" s="30"/>
      <c r="N18" s="30"/>
      <c r="O18" s="30"/>
      <c r="P18" s="30"/>
      <c r="Q18" s="30"/>
      <c r="R18" s="30"/>
      <c r="S18" s="30"/>
      <c r="T18" s="30"/>
      <c r="U18" s="30"/>
    </row>
    <row r="19" spans="1:21" ht="15">
      <c r="A19" s="30"/>
      <c r="B19" s="30"/>
      <c r="C19" s="30"/>
      <c r="D19" s="30"/>
      <c r="E19" s="30"/>
      <c r="F19" s="30"/>
      <c r="G19" s="30"/>
      <c r="H19" s="30"/>
      <c r="I19" s="30"/>
      <c r="J19" s="30"/>
      <c r="K19" s="30"/>
      <c r="L19" s="30"/>
      <c r="M19" s="30"/>
      <c r="N19" s="30"/>
      <c r="O19" s="30"/>
      <c r="P19" s="30"/>
      <c r="Q19" s="30"/>
      <c r="R19" s="30"/>
      <c r="S19" s="30"/>
      <c r="T19" s="30"/>
      <c r="U19" s="30"/>
    </row>
    <row r="20" spans="1:21" ht="15">
      <c r="A20" s="30"/>
      <c r="B20" s="30"/>
      <c r="C20" s="30"/>
      <c r="D20" s="30"/>
      <c r="E20" s="30"/>
      <c r="F20" s="30"/>
      <c r="G20" s="30"/>
      <c r="H20" s="30"/>
      <c r="I20" s="30"/>
      <c r="J20" s="30"/>
      <c r="K20" s="30"/>
      <c r="L20" s="30"/>
      <c r="M20" s="30"/>
      <c r="N20" s="30"/>
      <c r="O20" s="30"/>
      <c r="P20" s="30"/>
      <c r="Q20" s="30"/>
      <c r="R20" s="30"/>
      <c r="S20" s="30"/>
      <c r="T20" s="30"/>
      <c r="U20" s="30"/>
    </row>
    <row r="21" spans="1:21" ht="15">
      <c r="A21" s="30"/>
      <c r="B21" s="30"/>
      <c r="C21" s="30"/>
      <c r="D21" s="30"/>
      <c r="E21" s="30"/>
      <c r="F21" s="30"/>
      <c r="G21" s="30"/>
      <c r="H21" s="30"/>
      <c r="I21" s="30"/>
      <c r="J21" s="30"/>
      <c r="K21" s="30"/>
      <c r="L21" s="30"/>
      <c r="M21" s="30"/>
      <c r="N21" s="30"/>
      <c r="O21" s="30"/>
      <c r="P21" s="30"/>
      <c r="Q21" s="30"/>
      <c r="R21" s="30"/>
      <c r="S21" s="30"/>
      <c r="T21" s="30"/>
      <c r="U21" s="30"/>
    </row>
    <row r="22" spans="1:21" ht="15">
      <c r="A22" s="30"/>
      <c r="B22" s="30"/>
      <c r="C22" s="30"/>
      <c r="D22" s="30"/>
      <c r="E22" s="30"/>
      <c r="F22" s="30"/>
      <c r="G22" s="30"/>
      <c r="H22" s="30"/>
      <c r="I22" s="30"/>
      <c r="J22" s="30"/>
      <c r="K22" s="30"/>
      <c r="L22" s="30"/>
      <c r="M22" s="30"/>
      <c r="N22" s="30"/>
      <c r="O22" s="30"/>
      <c r="P22" s="30"/>
      <c r="Q22" s="30"/>
      <c r="R22" s="30"/>
      <c r="S22" s="30"/>
      <c r="T22" s="30"/>
      <c r="U22" s="30"/>
    </row>
    <row r="23" spans="1:21" ht="15">
      <c r="A23" s="30"/>
      <c r="B23" s="30"/>
      <c r="C23" s="30"/>
      <c r="D23" s="30"/>
      <c r="E23" s="30"/>
      <c r="F23" s="30"/>
      <c r="G23" s="30"/>
      <c r="H23" s="30"/>
      <c r="I23" s="30"/>
      <c r="J23" s="30"/>
      <c r="K23" s="30"/>
      <c r="L23" s="30"/>
      <c r="M23" s="30"/>
      <c r="N23" s="30"/>
      <c r="O23" s="30"/>
      <c r="P23" s="30"/>
      <c r="Q23" s="30"/>
      <c r="R23" s="30"/>
      <c r="S23" s="30"/>
      <c r="T23" s="30"/>
      <c r="U23" s="30"/>
    </row>
    <row r="24" spans="1:21" ht="15">
      <c r="A24" s="30"/>
      <c r="B24" s="30"/>
      <c r="C24" s="30"/>
      <c r="D24" s="30"/>
      <c r="E24" s="30"/>
      <c r="F24" s="30"/>
      <c r="G24" s="30"/>
      <c r="H24" s="30"/>
      <c r="I24" s="30"/>
      <c r="J24" s="30"/>
      <c r="K24" s="30"/>
      <c r="L24" s="30"/>
      <c r="M24" s="30"/>
      <c r="N24" s="30"/>
      <c r="O24" s="30"/>
      <c r="P24" s="30"/>
      <c r="Q24" s="30"/>
      <c r="R24" s="30"/>
      <c r="S24" s="30"/>
      <c r="T24" s="30"/>
      <c r="U24" s="30"/>
    </row>
    <row r="25" spans="1:21" ht="15">
      <c r="A25" s="30"/>
      <c r="B25" s="30"/>
      <c r="C25" s="30"/>
      <c r="D25" s="30"/>
      <c r="E25" s="30"/>
      <c r="F25" s="30"/>
      <c r="G25" s="30"/>
      <c r="H25" s="30"/>
      <c r="I25" s="30"/>
      <c r="J25" s="30"/>
      <c r="K25" s="30"/>
      <c r="L25" s="30"/>
      <c r="M25" s="30"/>
      <c r="N25" s="30"/>
      <c r="O25" s="30"/>
      <c r="P25" s="30"/>
      <c r="Q25" s="30"/>
      <c r="R25" s="30"/>
      <c r="S25" s="30"/>
      <c r="T25" s="30"/>
      <c r="U25" s="30"/>
    </row>
    <row r="26" spans="1:21" ht="15">
      <c r="A26" s="30"/>
      <c r="B26" s="30"/>
      <c r="C26" s="30"/>
      <c r="D26" s="30"/>
      <c r="E26" s="30"/>
      <c r="F26" s="30"/>
      <c r="G26" s="30"/>
      <c r="H26" s="30"/>
      <c r="I26" s="30"/>
      <c r="J26" s="30"/>
      <c r="K26" s="30"/>
      <c r="L26" s="30"/>
      <c r="M26" s="30"/>
      <c r="N26" s="30"/>
      <c r="O26" s="30"/>
      <c r="P26" s="30"/>
      <c r="Q26" s="30"/>
      <c r="R26" s="30"/>
      <c r="S26" s="30"/>
      <c r="T26" s="30"/>
      <c r="U26" s="30"/>
    </row>
    <row r="27" spans="1:21" ht="15">
      <c r="A27" s="30"/>
      <c r="B27" s="30"/>
      <c r="C27" s="30"/>
      <c r="D27" s="30"/>
      <c r="E27" s="30"/>
      <c r="F27" s="30"/>
      <c r="G27" s="30"/>
      <c r="H27" s="30"/>
      <c r="I27" s="30"/>
      <c r="J27" s="30"/>
      <c r="K27" s="30"/>
      <c r="L27" s="30"/>
      <c r="M27" s="30"/>
      <c r="N27" s="30"/>
      <c r="O27" s="30"/>
      <c r="P27" s="30"/>
      <c r="Q27" s="30"/>
      <c r="R27" s="30"/>
      <c r="S27" s="30"/>
      <c r="T27" s="30"/>
      <c r="U27" s="30"/>
    </row>
    <row r="28" spans="1:21" ht="15">
      <c r="A28" s="30"/>
      <c r="B28" s="30"/>
      <c r="C28" s="30"/>
      <c r="D28" s="30"/>
      <c r="E28" s="30"/>
      <c r="F28" s="30"/>
      <c r="G28" s="30"/>
      <c r="H28" s="30"/>
      <c r="I28" s="30"/>
      <c r="J28" s="30"/>
      <c r="K28" s="30"/>
      <c r="L28" s="30"/>
      <c r="M28" s="30"/>
      <c r="N28" s="30"/>
      <c r="O28" s="30"/>
      <c r="P28" s="30"/>
      <c r="Q28" s="30"/>
      <c r="R28" s="30"/>
      <c r="S28" s="30"/>
      <c r="T28" s="30"/>
      <c r="U28" s="30"/>
    </row>
    <row r="29" spans="1:21" ht="15">
      <c r="A29" s="30"/>
      <c r="B29" s="30"/>
      <c r="C29" s="30"/>
      <c r="D29" s="30"/>
      <c r="E29" s="30"/>
      <c r="F29" s="30"/>
      <c r="G29" s="30"/>
      <c r="H29" s="30"/>
      <c r="I29" s="30"/>
      <c r="J29" s="30"/>
      <c r="K29" s="30"/>
      <c r="L29" s="30"/>
      <c r="M29" s="30"/>
      <c r="N29" s="30"/>
      <c r="O29" s="30"/>
      <c r="P29" s="30"/>
      <c r="Q29" s="30"/>
      <c r="R29" s="30"/>
      <c r="S29" s="30"/>
      <c r="T29" s="30"/>
      <c r="U29" s="30"/>
    </row>
    <row r="30" spans="1:21" ht="15">
      <c r="A30" s="30"/>
      <c r="B30" s="30"/>
      <c r="C30" s="30"/>
      <c r="D30" s="30"/>
      <c r="E30" s="30"/>
      <c r="F30" s="30"/>
      <c r="G30" s="30"/>
      <c r="H30" s="30"/>
      <c r="I30" s="30"/>
      <c r="J30" s="30"/>
      <c r="K30" s="30"/>
      <c r="L30" s="30"/>
      <c r="M30" s="30"/>
      <c r="N30" s="30"/>
      <c r="O30" s="30"/>
      <c r="P30" s="30"/>
      <c r="Q30" s="30"/>
      <c r="R30" s="30"/>
      <c r="S30" s="30"/>
      <c r="T30" s="30"/>
      <c r="U30" s="30"/>
    </row>
    <row r="31" spans="1:21" ht="15">
      <c r="A31" s="30"/>
      <c r="B31" s="30"/>
      <c r="C31" s="30"/>
      <c r="D31" s="30"/>
      <c r="E31" s="30"/>
      <c r="F31" s="30"/>
      <c r="G31" s="30"/>
      <c r="H31" s="30"/>
      <c r="I31" s="30"/>
      <c r="J31" s="30"/>
      <c r="K31" s="30"/>
      <c r="L31" s="30"/>
      <c r="M31" s="30"/>
      <c r="N31" s="30"/>
      <c r="O31" s="30"/>
      <c r="P31" s="30"/>
      <c r="Q31" s="30"/>
      <c r="R31" s="30"/>
      <c r="S31" s="30"/>
      <c r="T31" s="30"/>
      <c r="U31" s="30"/>
    </row>
    <row r="32" spans="1:21" ht="15">
      <c r="A32" s="30"/>
      <c r="B32" s="30"/>
      <c r="C32" s="30"/>
      <c r="D32" s="30"/>
      <c r="E32" s="30"/>
      <c r="F32" s="30"/>
      <c r="G32" s="30"/>
      <c r="H32" s="30"/>
      <c r="I32" s="30"/>
      <c r="J32" s="30"/>
      <c r="K32" s="30"/>
      <c r="L32" s="30"/>
      <c r="M32" s="30"/>
      <c r="N32" s="30"/>
      <c r="O32" s="30"/>
      <c r="P32" s="30"/>
      <c r="Q32" s="30"/>
      <c r="R32" s="30"/>
      <c r="S32" s="30"/>
      <c r="T32" s="30"/>
      <c r="U32" s="30"/>
    </row>
    <row r="33" spans="1:21" ht="15">
      <c r="A33" s="30"/>
      <c r="B33" s="30"/>
      <c r="C33" s="30"/>
      <c r="D33" s="30"/>
      <c r="E33" s="30"/>
      <c r="F33" s="30"/>
      <c r="G33" s="30"/>
      <c r="H33" s="30"/>
      <c r="I33" s="30"/>
      <c r="J33" s="30"/>
      <c r="K33" s="30"/>
      <c r="L33" s="30"/>
      <c r="M33" s="30"/>
      <c r="N33" s="30"/>
      <c r="O33" s="30"/>
      <c r="P33" s="30"/>
      <c r="Q33" s="30"/>
      <c r="R33" s="30"/>
      <c r="S33" s="30"/>
      <c r="T33" s="30"/>
      <c r="U33" s="30"/>
    </row>
    <row r="34" spans="1:21" ht="15">
      <c r="A34" s="30"/>
      <c r="B34" s="30"/>
      <c r="C34" s="30"/>
      <c r="D34" s="30"/>
      <c r="E34" s="30"/>
      <c r="F34" s="30"/>
      <c r="G34" s="30"/>
      <c r="H34" s="30"/>
      <c r="I34" s="30"/>
      <c r="J34" s="30"/>
      <c r="K34" s="30"/>
      <c r="L34" s="30"/>
      <c r="M34" s="30"/>
      <c r="N34" s="30"/>
      <c r="O34" s="30"/>
      <c r="P34" s="30"/>
      <c r="Q34" s="30"/>
      <c r="R34" s="30"/>
      <c r="S34" s="30"/>
      <c r="T34" s="30"/>
      <c r="U34" s="30"/>
    </row>
    <row r="35" spans="1:21" ht="15">
      <c r="A35" s="30" t="s">
        <v>902</v>
      </c>
      <c r="B35" s="30"/>
      <c r="C35" s="30"/>
      <c r="D35" s="30"/>
      <c r="E35" s="30"/>
      <c r="F35" s="30"/>
      <c r="G35" s="30"/>
      <c r="H35" s="30"/>
      <c r="I35" s="30"/>
      <c r="J35" s="30"/>
      <c r="K35" s="30"/>
      <c r="L35" s="30"/>
      <c r="M35" s="30"/>
      <c r="N35" s="30"/>
      <c r="O35" s="30"/>
      <c r="P35" s="30"/>
      <c r="Q35" s="30"/>
      <c r="R35" s="30"/>
      <c r="S35" s="30"/>
      <c r="T35" s="30"/>
      <c r="U35" s="30"/>
    </row>
    <row r="36" spans="1:21" ht="15">
      <c r="A36" s="30"/>
      <c r="B36" s="30"/>
      <c r="C36" s="30"/>
      <c r="D36" s="30"/>
      <c r="E36" s="30"/>
      <c r="F36" s="30"/>
      <c r="G36" s="30"/>
      <c r="H36" s="30"/>
      <c r="I36" s="30"/>
      <c r="J36" s="30"/>
      <c r="K36" s="30"/>
      <c r="L36" s="30"/>
      <c r="M36" s="30"/>
      <c r="N36" s="30"/>
      <c r="O36" s="30"/>
      <c r="P36" s="30"/>
      <c r="Q36" s="30"/>
      <c r="R36" s="30"/>
      <c r="S36" s="30"/>
      <c r="T36" s="30"/>
      <c r="U36" s="30"/>
    </row>
    <row r="37" spans="1:21" ht="15">
      <c r="A37" s="30"/>
      <c r="B37" s="30"/>
      <c r="C37" s="30"/>
      <c r="D37" s="30"/>
      <c r="E37" s="30"/>
      <c r="F37" s="30"/>
      <c r="G37" s="30"/>
      <c r="H37" s="30"/>
      <c r="I37" s="30"/>
      <c r="J37" s="30"/>
      <c r="K37" s="30"/>
      <c r="L37" s="30"/>
      <c r="M37" s="30"/>
      <c r="N37" s="30"/>
      <c r="O37" s="30"/>
      <c r="P37" s="30"/>
      <c r="Q37" s="30"/>
      <c r="R37" s="30"/>
      <c r="S37" s="30"/>
      <c r="T37" s="30"/>
      <c r="U37" s="30"/>
    </row>
    <row r="38" spans="1:21" ht="409.5">
      <c r="A38" s="30"/>
      <c r="B38" s="30"/>
      <c r="C38" s="30"/>
      <c r="D38" s="30"/>
      <c r="E38" s="30"/>
      <c r="F38" s="156" t="s">
        <v>886</v>
      </c>
      <c r="G38" s="30"/>
      <c r="H38" s="30"/>
      <c r="I38" s="30"/>
      <c r="J38" s="30"/>
      <c r="K38" s="30"/>
      <c r="L38" s="30"/>
      <c r="M38" s="30"/>
      <c r="N38" s="30"/>
      <c r="O38" s="30"/>
      <c r="P38" s="30"/>
      <c r="Q38" s="30"/>
      <c r="R38" s="30"/>
      <c r="S38" s="30"/>
      <c r="T38" s="30"/>
      <c r="U38" s="30"/>
    </row>
    <row r="39" spans="1:21" ht="15">
      <c r="A39" s="30"/>
      <c r="B39" s="30"/>
      <c r="C39" s="30"/>
      <c r="D39" s="30"/>
      <c r="E39" s="30"/>
      <c r="F39" s="30"/>
      <c r="G39" s="30"/>
      <c r="H39" s="30"/>
      <c r="I39" s="30"/>
      <c r="J39" s="30"/>
      <c r="K39" s="30"/>
      <c r="L39" s="30"/>
      <c r="M39" s="30"/>
      <c r="N39" s="30"/>
      <c r="O39" s="30"/>
      <c r="P39" s="30"/>
      <c r="Q39" s="30"/>
      <c r="R39" s="30"/>
      <c r="S39" s="30"/>
      <c r="T39" s="30"/>
      <c r="U39" s="30"/>
    </row>
    <row r="40" spans="1:21" ht="15">
      <c r="A40" s="30"/>
      <c r="B40" s="30"/>
      <c r="C40" s="30"/>
      <c r="D40" s="30"/>
      <c r="E40" s="30"/>
      <c r="F40" s="30"/>
      <c r="G40" s="30"/>
      <c r="H40" s="30"/>
      <c r="I40" s="30"/>
      <c r="J40" s="30"/>
      <c r="K40" s="30"/>
      <c r="L40" s="30"/>
      <c r="M40" s="30"/>
      <c r="N40" s="30"/>
      <c r="O40" s="30"/>
      <c r="P40" s="30"/>
      <c r="Q40" s="30"/>
      <c r="R40" s="30"/>
      <c r="S40" s="30"/>
      <c r="T40" s="30"/>
      <c r="U40" s="30"/>
    </row>
    <row r="41" spans="1:21" ht="15">
      <c r="A41" s="30"/>
      <c r="B41" s="30"/>
      <c r="C41" s="30"/>
      <c r="D41" s="30"/>
      <c r="E41" s="30"/>
      <c r="F41" s="30"/>
      <c r="G41" s="30"/>
      <c r="H41" s="30"/>
      <c r="I41" s="30"/>
      <c r="J41" s="30"/>
      <c r="K41" s="30"/>
      <c r="L41" s="30"/>
      <c r="M41" s="30"/>
      <c r="N41" s="30"/>
      <c r="O41" s="30"/>
      <c r="P41" s="30"/>
      <c r="Q41" s="30"/>
      <c r="R41" s="30"/>
      <c r="S41" s="30"/>
      <c r="T41" s="30"/>
      <c r="U41" s="30"/>
    </row>
    <row r="42" spans="1:21" ht="15">
      <c r="A42" s="30"/>
      <c r="B42" s="30"/>
      <c r="C42" s="30"/>
      <c r="D42" s="30"/>
      <c r="E42" s="30"/>
      <c r="F42" s="30"/>
      <c r="G42" s="30"/>
      <c r="H42" s="30"/>
      <c r="I42" s="30"/>
      <c r="J42" s="30"/>
      <c r="K42" s="30"/>
      <c r="L42" s="30"/>
      <c r="M42" s="30"/>
      <c r="N42" s="30"/>
      <c r="O42" s="30"/>
      <c r="P42" s="30"/>
      <c r="Q42" s="30"/>
      <c r="R42" s="30"/>
      <c r="S42" s="30"/>
      <c r="T42" s="30"/>
      <c r="U42" s="30"/>
    </row>
    <row r="43" spans="1:21" ht="15">
      <c r="A43" s="30"/>
      <c r="B43" s="30"/>
      <c r="C43" s="30"/>
      <c r="D43" s="30"/>
      <c r="E43" s="30"/>
      <c r="F43" s="30"/>
      <c r="G43" s="30"/>
      <c r="H43" s="30"/>
      <c r="I43" s="30"/>
      <c r="J43" s="30"/>
      <c r="K43" s="30"/>
      <c r="L43" s="30"/>
      <c r="M43" s="30"/>
      <c r="N43" s="30"/>
      <c r="O43" s="30"/>
      <c r="P43" s="30"/>
      <c r="Q43" s="30"/>
      <c r="R43" s="30"/>
      <c r="S43" s="30"/>
      <c r="T43" s="30"/>
      <c r="U43" s="30"/>
    </row>
    <row r="44" spans="1:21" ht="15">
      <c r="A44" s="30"/>
      <c r="B44" s="30"/>
      <c r="C44" s="30"/>
      <c r="D44" s="30"/>
      <c r="E44" s="30"/>
      <c r="F44" s="30"/>
      <c r="G44" s="30"/>
      <c r="H44" s="30"/>
      <c r="I44" s="30"/>
      <c r="J44" s="30"/>
      <c r="K44" s="30"/>
      <c r="L44" s="30"/>
      <c r="M44" s="30"/>
      <c r="N44" s="30"/>
      <c r="O44" s="30"/>
      <c r="P44" s="30"/>
      <c r="Q44" s="30"/>
      <c r="R44" s="30"/>
      <c r="S44" s="30"/>
      <c r="T44" s="30"/>
      <c r="U44" s="30"/>
    </row>
    <row r="45" spans="1:21" ht="15">
      <c r="A45" s="30"/>
      <c r="B45" s="30"/>
      <c r="C45" s="30"/>
      <c r="D45" s="30"/>
      <c r="E45" s="30"/>
      <c r="F45" s="30"/>
      <c r="G45" s="30"/>
      <c r="H45" s="30"/>
      <c r="I45" s="30"/>
      <c r="J45" s="30"/>
      <c r="K45" s="30"/>
      <c r="L45" s="30"/>
      <c r="M45" s="30"/>
      <c r="N45" s="30"/>
      <c r="O45" s="30"/>
      <c r="P45" s="30"/>
      <c r="Q45" s="30"/>
      <c r="R45" s="30"/>
      <c r="S45" s="30"/>
      <c r="T45" s="30"/>
      <c r="U45" s="30"/>
    </row>
    <row r="46" spans="1:21" ht="15">
      <c r="A46" s="30"/>
      <c r="B46" s="30"/>
      <c r="C46" s="30"/>
      <c r="D46" s="30"/>
      <c r="E46" s="30"/>
      <c r="F46" s="30"/>
      <c r="G46" s="30"/>
      <c r="H46" s="30"/>
      <c r="I46" s="30"/>
      <c r="J46" s="30"/>
      <c r="K46" s="30"/>
      <c r="L46" s="30"/>
      <c r="M46" s="30"/>
      <c r="N46" s="30"/>
      <c r="O46" s="30"/>
      <c r="P46" s="30"/>
      <c r="Q46" s="30"/>
      <c r="R46" s="30"/>
      <c r="S46" s="30"/>
      <c r="T46" s="30"/>
      <c r="U46" s="30"/>
    </row>
    <row r="47" spans="1:21" ht="15">
      <c r="A47" s="30"/>
      <c r="B47" s="30"/>
      <c r="C47" s="30"/>
      <c r="D47" s="30"/>
      <c r="E47" s="30"/>
      <c r="F47" s="30"/>
      <c r="G47" s="30"/>
      <c r="H47" s="30"/>
      <c r="I47" s="30"/>
      <c r="J47" s="30"/>
      <c r="K47" s="30"/>
      <c r="L47" s="30"/>
      <c r="M47" s="30"/>
      <c r="N47" s="30"/>
      <c r="O47" s="30"/>
      <c r="P47" s="30"/>
      <c r="Q47" s="30"/>
      <c r="R47" s="30"/>
      <c r="S47" s="30"/>
      <c r="T47" s="30"/>
      <c r="U47" s="30"/>
    </row>
    <row r="48" spans="1:21" ht="15">
      <c r="A48" s="30"/>
      <c r="B48" s="30"/>
      <c r="C48" s="30"/>
      <c r="D48" s="30"/>
      <c r="E48" s="30"/>
      <c r="F48" s="30"/>
      <c r="G48" s="30"/>
      <c r="H48" s="30"/>
      <c r="I48" s="30"/>
      <c r="J48" s="30"/>
      <c r="K48" s="30"/>
      <c r="L48" s="30"/>
      <c r="M48" s="30"/>
      <c r="N48" s="30"/>
      <c r="O48" s="30"/>
      <c r="P48" s="154"/>
      <c r="Q48" s="30"/>
      <c r="R48" s="30"/>
      <c r="S48" s="30"/>
      <c r="T48" s="30"/>
      <c r="U48" s="30"/>
    </row>
    <row r="49" spans="1:22" ht="15">
      <c r="A49" s="30"/>
      <c r="B49" s="382" t="s">
        <v>524</v>
      </c>
      <c r="C49" s="382"/>
      <c r="D49" s="382"/>
      <c r="E49" s="382"/>
      <c r="F49" s="382"/>
      <c r="G49" s="382"/>
      <c r="H49" s="382"/>
      <c r="I49" s="383">
        <f>(PI()*'Seismic design2007'!Q34)/(2.6)</f>
        <v>15.707963267948966</v>
      </c>
      <c r="J49" s="383"/>
      <c r="K49" s="30"/>
      <c r="L49" s="30"/>
      <c r="M49" s="30"/>
      <c r="N49" s="30"/>
      <c r="O49" s="30"/>
      <c r="P49" s="30"/>
      <c r="Q49" s="30"/>
      <c r="R49" s="30"/>
      <c r="S49" s="30"/>
      <c r="T49" s="30"/>
      <c r="U49" s="30"/>
    </row>
    <row r="50" spans="1:22" ht="15">
      <c r="A50" s="30"/>
      <c r="B50" s="382" t="s">
        <v>412</v>
      </c>
      <c r="C50" s="382"/>
      <c r="D50" s="382"/>
      <c r="E50" s="382"/>
      <c r="F50" s="382"/>
      <c r="G50" s="382"/>
      <c r="H50" s="382"/>
      <c r="I50" s="382">
        <v>24</v>
      </c>
      <c r="J50" s="382"/>
      <c r="K50" s="30"/>
      <c r="L50" s="382" t="s">
        <v>502</v>
      </c>
      <c r="M50" s="382"/>
      <c r="N50" s="382"/>
      <c r="O50" s="382"/>
      <c r="P50" s="599">
        <v>13250</v>
      </c>
      <c r="Q50" s="599"/>
      <c r="R50" s="30" t="s">
        <v>29</v>
      </c>
      <c r="S50" s="30"/>
      <c r="T50" s="30"/>
      <c r="U50" s="30"/>
    </row>
    <row r="51" spans="1:22" ht="15">
      <c r="A51" s="30"/>
      <c r="B51" s="30"/>
      <c r="C51" s="30"/>
      <c r="D51" s="33" t="str">
        <f>'[1]Bottom &amp; Annular plate design'!J14</f>
        <v>Outside Diameter of Bottom plate:</v>
      </c>
      <c r="E51" s="33"/>
      <c r="F51" s="33"/>
      <c r="G51" s="33"/>
      <c r="H51" s="33"/>
      <c r="I51" s="382">
        <f>'Bottom &amp; Annular plate design'!S15</f>
        <v>13120</v>
      </c>
      <c r="J51" s="382"/>
      <c r="K51" s="530" t="s">
        <v>522</v>
      </c>
      <c r="L51" s="378" t="str">
        <f>IF(I52&lt;I51,"Anchore Bolt will clash with Bottom Plate","Anchore Bolt will  Not clash with Bottom Plate")</f>
        <v>Anchore Bolt will  Not clash with Bottom Plate</v>
      </c>
      <c r="M51" s="378"/>
      <c r="N51" s="378"/>
      <c r="O51" s="378"/>
      <c r="P51" s="378"/>
      <c r="Q51" s="378"/>
      <c r="R51" s="378"/>
      <c r="S51" s="378"/>
      <c r="T51" s="530" t="s">
        <v>522</v>
      </c>
      <c r="U51" s="378" t="str">
        <f>IF(I52&lt;I51,"Fail","Pass")</f>
        <v>Pass</v>
      </c>
      <c r="V51" s="378"/>
    </row>
    <row r="52" spans="1:22" ht="15">
      <c r="A52" s="30"/>
      <c r="B52" s="391" t="s">
        <v>687</v>
      </c>
      <c r="C52" s="391"/>
      <c r="D52" s="391"/>
      <c r="E52" s="391"/>
      <c r="F52" s="391"/>
      <c r="G52" s="391"/>
      <c r="H52" s="33"/>
      <c r="I52" s="382">
        <f>P50-H104</f>
        <v>13220</v>
      </c>
      <c r="J52" s="382"/>
      <c r="K52" s="378"/>
      <c r="L52" s="378"/>
      <c r="M52" s="378"/>
      <c r="N52" s="378"/>
      <c r="O52" s="378"/>
      <c r="P52" s="378"/>
      <c r="Q52" s="378"/>
      <c r="R52" s="378"/>
      <c r="S52" s="378"/>
      <c r="T52" s="378"/>
      <c r="U52" s="378"/>
      <c r="V52" s="378"/>
    </row>
    <row r="53" spans="1:22" ht="15.75" thickBot="1">
      <c r="A53" s="30"/>
      <c r="B53" s="382" t="s">
        <v>413</v>
      </c>
      <c r="C53" s="382"/>
      <c r="D53" s="382"/>
      <c r="E53" s="382"/>
      <c r="F53" s="382"/>
      <c r="G53" s="382"/>
      <c r="H53" s="382"/>
      <c r="I53" s="382"/>
      <c r="J53" s="382"/>
      <c r="K53" s="383">
        <f>(PI()*'Seismic design2007'!Q34)/(I50)</f>
        <v>1.7016960206944713</v>
      </c>
      <c r="L53" s="383"/>
      <c r="M53" s="382" t="str">
        <f>IF(K53&lt;3,"OK","NOT OK")</f>
        <v>OK</v>
      </c>
      <c r="N53" s="382"/>
      <c r="O53" s="382"/>
      <c r="P53" s="382"/>
      <c r="Q53" s="382"/>
      <c r="R53" s="382"/>
      <c r="S53" s="382"/>
      <c r="T53" s="382"/>
      <c r="U53" s="30"/>
    </row>
    <row r="54" spans="1:22" ht="15" customHeight="1">
      <c r="A54" s="229"/>
      <c r="B54" s="230"/>
      <c r="C54" s="230"/>
      <c r="D54" s="230"/>
      <c r="E54" s="231"/>
      <c r="F54" s="158" t="str">
        <f>F1</f>
        <v>نگهداشت و افزایش تولید میدان نفتی بینک
سطح الارض و ابنیه تحت الارض 
خرید مخازن ذخیره گاز ایستگاه تقویت فشار گاز بینک 
(قرارداد BK-HD-GCS-CO-0026_00 )</v>
      </c>
      <c r="G54" s="159"/>
      <c r="H54" s="159"/>
      <c r="I54" s="159"/>
      <c r="J54" s="159"/>
      <c r="K54" s="159"/>
      <c r="L54" s="159"/>
      <c r="M54" s="159"/>
      <c r="N54" s="159"/>
      <c r="O54" s="159"/>
      <c r="P54" s="159"/>
      <c r="Q54" s="160"/>
      <c r="R54" s="238"/>
      <c r="S54" s="238"/>
      <c r="T54" s="238"/>
      <c r="U54" s="238"/>
      <c r="V54" s="239"/>
    </row>
    <row r="55" spans="1:22">
      <c r="A55" s="232"/>
      <c r="B55" s="233"/>
      <c r="C55" s="233"/>
      <c r="D55" s="233"/>
      <c r="E55" s="234"/>
      <c r="F55" s="161"/>
      <c r="G55" s="162"/>
      <c r="H55" s="162"/>
      <c r="I55" s="162"/>
      <c r="J55" s="162"/>
      <c r="K55" s="162"/>
      <c r="L55" s="162"/>
      <c r="M55" s="162"/>
      <c r="N55" s="162"/>
      <c r="O55" s="162"/>
      <c r="P55" s="162"/>
      <c r="Q55" s="163"/>
      <c r="R55" s="177"/>
      <c r="S55" s="177"/>
      <c r="T55" s="177"/>
      <c r="U55" s="177"/>
      <c r="V55" s="240"/>
    </row>
    <row r="56" spans="1:22">
      <c r="A56" s="232"/>
      <c r="B56" s="233"/>
      <c r="C56" s="233"/>
      <c r="D56" s="233"/>
      <c r="E56" s="234"/>
      <c r="F56" s="161"/>
      <c r="G56" s="162"/>
      <c r="H56" s="162"/>
      <c r="I56" s="162"/>
      <c r="J56" s="162"/>
      <c r="K56" s="162"/>
      <c r="L56" s="162"/>
      <c r="M56" s="162"/>
      <c r="N56" s="162"/>
      <c r="O56" s="162"/>
      <c r="P56" s="162"/>
      <c r="Q56" s="163"/>
      <c r="R56" s="177"/>
      <c r="S56" s="177"/>
      <c r="T56" s="177"/>
      <c r="U56" s="177"/>
      <c r="V56" s="240"/>
    </row>
    <row r="57" spans="1:22">
      <c r="A57" s="232"/>
      <c r="B57" s="233"/>
      <c r="C57" s="233"/>
      <c r="D57" s="233"/>
      <c r="E57" s="234"/>
      <c r="F57" s="161"/>
      <c r="G57" s="162"/>
      <c r="H57" s="162"/>
      <c r="I57" s="162"/>
      <c r="J57" s="162"/>
      <c r="K57" s="162"/>
      <c r="L57" s="162"/>
      <c r="M57" s="162"/>
      <c r="N57" s="162"/>
      <c r="O57" s="162"/>
      <c r="P57" s="162"/>
      <c r="Q57" s="163"/>
      <c r="R57" s="177"/>
      <c r="S57" s="177"/>
      <c r="T57" s="177"/>
      <c r="U57" s="177"/>
      <c r="V57" s="240"/>
    </row>
    <row r="58" spans="1:22">
      <c r="A58" s="232"/>
      <c r="B58" s="233"/>
      <c r="C58" s="233"/>
      <c r="D58" s="233"/>
      <c r="E58" s="234"/>
      <c r="F58" s="164"/>
      <c r="G58" s="165"/>
      <c r="H58" s="165"/>
      <c r="I58" s="165"/>
      <c r="J58" s="165"/>
      <c r="K58" s="165"/>
      <c r="L58" s="165"/>
      <c r="M58" s="165"/>
      <c r="N58" s="165"/>
      <c r="O58" s="165"/>
      <c r="P58" s="165"/>
      <c r="Q58" s="166"/>
      <c r="R58" s="177"/>
      <c r="S58" s="177"/>
      <c r="T58" s="177"/>
      <c r="U58" s="177"/>
      <c r="V58" s="240"/>
    </row>
    <row r="59" spans="1:22" ht="20.45" customHeight="1">
      <c r="A59" s="235"/>
      <c r="B59" s="236"/>
      <c r="C59" s="236"/>
      <c r="D59" s="236"/>
      <c r="E59" s="237"/>
      <c r="F59" s="265" t="str">
        <f>F6</f>
        <v>Mechanical Calculation Book For Fire Water Tanks (TK-2301A/B)</v>
      </c>
      <c r="G59" s="266"/>
      <c r="H59" s="266"/>
      <c r="I59" s="266"/>
      <c r="J59" s="266"/>
      <c r="K59" s="266"/>
      <c r="L59" s="266"/>
      <c r="M59" s="266"/>
      <c r="N59" s="266"/>
      <c r="O59" s="266"/>
      <c r="P59" s="266"/>
      <c r="Q59" s="267"/>
      <c r="R59" s="177"/>
      <c r="S59" s="177"/>
      <c r="T59" s="177"/>
      <c r="U59" s="177"/>
      <c r="V59" s="240"/>
    </row>
    <row r="60" spans="1:22" ht="19.149999999999999" customHeight="1">
      <c r="A60" s="167" t="s">
        <v>743</v>
      </c>
      <c r="B60" s="168"/>
      <c r="C60" s="168"/>
      <c r="D60" s="168"/>
      <c r="E60" s="169"/>
      <c r="F60" s="125" t="s">
        <v>744</v>
      </c>
      <c r="G60" s="170" t="s">
        <v>745</v>
      </c>
      <c r="H60" s="171"/>
      <c r="I60" s="170" t="s">
        <v>746</v>
      </c>
      <c r="J60" s="171"/>
      <c r="K60" s="170" t="s">
        <v>747</v>
      </c>
      <c r="L60" s="171"/>
      <c r="M60" s="125" t="s">
        <v>748</v>
      </c>
      <c r="N60" s="170" t="s">
        <v>749</v>
      </c>
      <c r="O60" s="171"/>
      <c r="P60" s="125" t="s">
        <v>750</v>
      </c>
      <c r="Q60" s="126" t="s">
        <v>751</v>
      </c>
      <c r="R60" s="172">
        <f>R7</f>
        <v>29</v>
      </c>
      <c r="S60" s="174" t="s">
        <v>752</v>
      </c>
      <c r="T60" s="263">
        <f>T7+1</f>
        <v>26</v>
      </c>
      <c r="U60" s="168" t="s">
        <v>753</v>
      </c>
      <c r="V60" s="188"/>
    </row>
    <row r="61" spans="1:22" ht="21.6" customHeight="1" thickBot="1">
      <c r="A61" s="191" t="s">
        <v>754</v>
      </c>
      <c r="B61" s="175"/>
      <c r="C61" s="175"/>
      <c r="D61" s="175"/>
      <c r="E61" s="192"/>
      <c r="F61" s="132" t="s">
        <v>755</v>
      </c>
      <c r="G61" s="193" t="s">
        <v>756</v>
      </c>
      <c r="H61" s="193"/>
      <c r="I61" s="193" t="s">
        <v>878</v>
      </c>
      <c r="J61" s="193"/>
      <c r="K61" s="193">
        <v>120</v>
      </c>
      <c r="L61" s="193"/>
      <c r="M61" s="132" t="s">
        <v>757</v>
      </c>
      <c r="N61" s="193" t="s">
        <v>879</v>
      </c>
      <c r="O61" s="193"/>
      <c r="P61" s="142" t="s">
        <v>881</v>
      </c>
      <c r="Q61" s="133" t="str">
        <f>Q8</f>
        <v>V01</v>
      </c>
      <c r="R61" s="173"/>
      <c r="S61" s="175"/>
      <c r="T61" s="264"/>
      <c r="U61" s="189"/>
      <c r="V61" s="190"/>
    </row>
    <row r="62" spans="1:22" ht="15">
      <c r="A62" s="378" t="s">
        <v>713</v>
      </c>
      <c r="B62" s="378"/>
      <c r="C62" s="378"/>
      <c r="D62" s="378"/>
      <c r="E62" s="378"/>
      <c r="F62" s="378" t="str">
        <f>COVER!Q207</f>
        <v>F1554 Gr.36</v>
      </c>
      <c r="G62" s="378"/>
      <c r="H62" s="378"/>
      <c r="I62" s="378"/>
      <c r="J62" s="30"/>
      <c r="K62" s="30"/>
      <c r="L62" s="30"/>
      <c r="M62" s="30"/>
      <c r="N62" s="30"/>
      <c r="O62" s="30"/>
      <c r="P62" s="30"/>
      <c r="Q62" s="30"/>
      <c r="R62" s="30"/>
      <c r="S62" s="30"/>
      <c r="T62" s="30"/>
    </row>
    <row r="63" spans="1:22" ht="15">
      <c r="A63" s="285"/>
      <c r="B63" s="285"/>
      <c r="C63" s="285"/>
      <c r="D63" s="285"/>
      <c r="E63" s="285"/>
      <c r="F63" s="285"/>
      <c r="G63" s="285"/>
      <c r="H63" s="285"/>
      <c r="I63" s="285"/>
      <c r="J63" s="30"/>
      <c r="K63" s="30"/>
      <c r="L63" s="30"/>
      <c r="M63" s="30"/>
      <c r="N63" s="30"/>
      <c r="O63" s="30"/>
      <c r="P63" s="30"/>
      <c r="Q63" s="30"/>
      <c r="R63" s="30"/>
      <c r="S63" s="30"/>
      <c r="T63" s="30"/>
    </row>
    <row r="64" spans="1:22">
      <c r="A64" s="593" t="s">
        <v>161</v>
      </c>
      <c r="B64" s="593"/>
      <c r="C64" s="593"/>
      <c r="D64" s="593"/>
      <c r="E64" s="593"/>
      <c r="F64" s="593" t="s">
        <v>162</v>
      </c>
      <c r="G64" s="593"/>
      <c r="H64" s="593"/>
      <c r="I64" s="593" t="s">
        <v>163</v>
      </c>
      <c r="J64" s="593"/>
      <c r="K64" s="593"/>
      <c r="L64" s="594" t="s">
        <v>164</v>
      </c>
      <c r="M64" s="595"/>
      <c r="N64" s="595"/>
      <c r="O64" s="596" t="s">
        <v>165</v>
      </c>
      <c r="P64" s="597"/>
      <c r="Q64" s="594" t="s">
        <v>166</v>
      </c>
      <c r="R64" s="595"/>
      <c r="S64" s="598" t="s">
        <v>736</v>
      </c>
      <c r="T64" s="593"/>
    </row>
    <row r="65" spans="1:20" ht="27.75" customHeight="1">
      <c r="A65" s="593"/>
      <c r="B65" s="593"/>
      <c r="C65" s="593"/>
      <c r="D65" s="593"/>
      <c r="E65" s="593"/>
      <c r="F65" s="593"/>
      <c r="G65" s="593"/>
      <c r="H65" s="593"/>
      <c r="I65" s="593"/>
      <c r="J65" s="593"/>
      <c r="K65" s="593"/>
      <c r="L65" s="595"/>
      <c r="M65" s="595"/>
      <c r="N65" s="595"/>
      <c r="O65" s="597"/>
      <c r="P65" s="597"/>
      <c r="Q65" s="595"/>
      <c r="R65" s="595"/>
      <c r="S65" s="593"/>
      <c r="T65" s="593"/>
    </row>
    <row r="66" spans="1:20" ht="15">
      <c r="A66" s="177" t="s">
        <v>168</v>
      </c>
      <c r="B66" s="177"/>
      <c r="C66" s="177"/>
      <c r="D66" s="177"/>
      <c r="E66" s="177"/>
      <c r="F66" s="591">
        <f>((R80-(0.08*4.5))*R78^2*785)-(R91)</f>
        <v>-625962.2426941524</v>
      </c>
      <c r="G66" s="591"/>
      <c r="H66" s="591"/>
      <c r="I66" s="591">
        <f>F66/R97</f>
        <v>-26081.76011225635</v>
      </c>
      <c r="J66" s="591"/>
      <c r="K66" s="591"/>
      <c r="L66" s="591">
        <f>(5/12)*R98</f>
        <v>103.33333333333334</v>
      </c>
      <c r="M66" s="591"/>
      <c r="N66" s="591"/>
      <c r="O66" s="591">
        <f>(2/3)*R99</f>
        <v>136.66666666666666</v>
      </c>
      <c r="P66" s="591"/>
      <c r="Q66" s="592" t="str">
        <f>IF(F66&lt;0,"Not Required"," Required")</f>
        <v>Not Required</v>
      </c>
      <c r="R66" s="592"/>
      <c r="S66" s="183" t="s">
        <v>446</v>
      </c>
      <c r="T66" s="185"/>
    </row>
    <row r="67" spans="1:20" ht="15">
      <c r="A67" s="177" t="s">
        <v>169</v>
      </c>
      <c r="B67" s="177"/>
      <c r="C67" s="177"/>
      <c r="D67" s="177"/>
      <c r="E67" s="177"/>
      <c r="F67" s="591">
        <f>((R81-(0.08*4.5))*R78^2*785)-(R91)</f>
        <v>-702475.93802036811</v>
      </c>
      <c r="G67" s="591"/>
      <c r="H67" s="591"/>
      <c r="I67" s="591">
        <f>F67/R97</f>
        <v>-29269.830750848672</v>
      </c>
      <c r="J67" s="591"/>
      <c r="K67" s="591"/>
      <c r="L67" s="591">
        <f>(5/9)*R98</f>
        <v>137.77777777777777</v>
      </c>
      <c r="M67" s="591"/>
      <c r="N67" s="591"/>
      <c r="O67" s="591">
        <f>(5/6)*R99</f>
        <v>170.83333333333334</v>
      </c>
      <c r="P67" s="591"/>
      <c r="Q67" s="592" t="str">
        <f t="shared" ref="Q67:Q73" si="0">IF(F67&lt;0,"Not Required"," Required")</f>
        <v>Not Required</v>
      </c>
      <c r="R67" s="592"/>
      <c r="S67" s="183" t="s">
        <v>446</v>
      </c>
      <c r="T67" s="185"/>
    </row>
    <row r="68" spans="1:20" ht="15">
      <c r="A68" s="177" t="s">
        <v>170</v>
      </c>
      <c r="B68" s="177"/>
      <c r="C68" s="177"/>
      <c r="D68" s="177"/>
      <c r="E68" s="177"/>
      <c r="F68" s="591">
        <f>((1.5*(R81)-(0.08*4.5))*R78^2*785)-(R94)</f>
        <v>-366751.84378968365</v>
      </c>
      <c r="G68" s="591"/>
      <c r="H68" s="591"/>
      <c r="I68" s="591">
        <f>F68/R97</f>
        <v>-15281.326824570153</v>
      </c>
      <c r="J68" s="591"/>
      <c r="K68" s="591"/>
      <c r="L68" s="591">
        <f>R98</f>
        <v>248</v>
      </c>
      <c r="M68" s="591"/>
      <c r="N68" s="591"/>
      <c r="O68" s="591">
        <f>R99</f>
        <v>205</v>
      </c>
      <c r="P68" s="591"/>
      <c r="Q68" s="592" t="str">
        <f t="shared" si="0"/>
        <v>Not Required</v>
      </c>
      <c r="R68" s="592"/>
      <c r="S68" s="183" t="s">
        <v>446</v>
      </c>
      <c r="T68" s="185"/>
    </row>
    <row r="69" spans="1:20" ht="15">
      <c r="A69" s="177" t="s">
        <v>171</v>
      </c>
      <c r="B69" s="177"/>
      <c r="C69" s="177"/>
      <c r="D69" s="177"/>
      <c r="E69" s="177"/>
      <c r="F69" s="591">
        <f>((3*(R81)-(0.08*4.5))*R78^2*785)-(R94)</f>
        <v>-481522.38677900721</v>
      </c>
      <c r="G69" s="591"/>
      <c r="H69" s="591"/>
      <c r="I69" s="591">
        <f>F69/R97</f>
        <v>-20063.432782458633</v>
      </c>
      <c r="J69" s="591"/>
      <c r="K69" s="591"/>
      <c r="L69" s="591">
        <f>L68</f>
        <v>248</v>
      </c>
      <c r="M69" s="591"/>
      <c r="N69" s="591"/>
      <c r="O69" s="591">
        <f>O68</f>
        <v>205</v>
      </c>
      <c r="P69" s="591"/>
      <c r="Q69" s="592" t="str">
        <f t="shared" si="0"/>
        <v>Not Required</v>
      </c>
      <c r="R69" s="592"/>
      <c r="S69" s="183" t="s">
        <v>446</v>
      </c>
      <c r="T69" s="185"/>
    </row>
    <row r="70" spans="1:20" ht="15">
      <c r="A70" s="177" t="s">
        <v>172</v>
      </c>
      <c r="B70" s="177"/>
      <c r="C70" s="177"/>
      <c r="D70" s="177"/>
      <c r="E70" s="177"/>
      <c r="F70" s="591">
        <f>R76*R78^2*785+((4*R86)/R78)-(R91)</f>
        <v>-285220.10648140998</v>
      </c>
      <c r="G70" s="591"/>
      <c r="H70" s="591"/>
      <c r="I70" s="591">
        <f>F70/R97</f>
        <v>-11884.171103392082</v>
      </c>
      <c r="J70" s="591"/>
      <c r="K70" s="591"/>
      <c r="L70" s="591">
        <f>R98*0.8</f>
        <v>198.4</v>
      </c>
      <c r="M70" s="591"/>
      <c r="N70" s="591"/>
      <c r="O70" s="591">
        <f>O67</f>
        <v>170.83333333333334</v>
      </c>
      <c r="P70" s="591"/>
      <c r="Q70" s="592" t="str">
        <f t="shared" si="0"/>
        <v>Not Required</v>
      </c>
      <c r="R70" s="592"/>
      <c r="S70" s="588" t="s">
        <v>446</v>
      </c>
      <c r="T70" s="589"/>
    </row>
    <row r="71" spans="1:20" ht="15">
      <c r="A71" s="177" t="s">
        <v>173</v>
      </c>
      <c r="B71" s="177"/>
      <c r="C71" s="177"/>
      <c r="D71" s="177"/>
      <c r="E71" s="177"/>
      <c r="F71" s="591">
        <f>(4*R87/R78)-(R91*(1-(0.4*R75)))</f>
        <v>1635331.7868085671</v>
      </c>
      <c r="G71" s="591"/>
      <c r="H71" s="591"/>
      <c r="I71" s="591">
        <f>F71/R97</f>
        <v>68138.824450356959</v>
      </c>
      <c r="J71" s="591"/>
      <c r="K71" s="591"/>
      <c r="L71" s="591">
        <f>L70</f>
        <v>198.4</v>
      </c>
      <c r="M71" s="591"/>
      <c r="N71" s="591"/>
      <c r="O71" s="591">
        <f>O67</f>
        <v>170.83333333333334</v>
      </c>
      <c r="P71" s="591"/>
      <c r="Q71" s="592" t="str">
        <f t="shared" si="0"/>
        <v xml:space="preserve"> Required</v>
      </c>
      <c r="R71" s="592"/>
      <c r="S71" s="588">
        <f>I71/L71</f>
        <v>343.44165549575081</v>
      </c>
      <c r="T71" s="589"/>
    </row>
    <row r="72" spans="1:20" ht="15">
      <c r="A72" s="177" t="s">
        <v>174</v>
      </c>
      <c r="B72" s="177"/>
      <c r="C72" s="177"/>
      <c r="D72" s="177"/>
      <c r="E72" s="177"/>
      <c r="F72" s="591">
        <f>((((R81*R80)+R76-(0.08*4.5))*R78^2*785))+(4*R86/R78)-(R91)</f>
        <v>-332979.50648140995</v>
      </c>
      <c r="G72" s="591"/>
      <c r="H72" s="591"/>
      <c r="I72" s="591">
        <f>F72/R97</f>
        <v>-13874.14610339208</v>
      </c>
      <c r="J72" s="591"/>
      <c r="K72" s="591"/>
      <c r="L72" s="591">
        <f>L67</f>
        <v>137.77777777777777</v>
      </c>
      <c r="M72" s="591"/>
      <c r="N72" s="591"/>
      <c r="O72" s="591">
        <f>O67</f>
        <v>170.83333333333334</v>
      </c>
      <c r="P72" s="591"/>
      <c r="Q72" s="592" t="str">
        <f t="shared" si="0"/>
        <v>Not Required</v>
      </c>
      <c r="R72" s="592"/>
      <c r="S72" s="588" t="s">
        <v>446</v>
      </c>
      <c r="T72" s="589"/>
    </row>
    <row r="73" spans="1:20" ht="15">
      <c r="A73" s="177" t="s">
        <v>175</v>
      </c>
      <c r="B73" s="177"/>
      <c r="C73" s="177"/>
      <c r="D73" s="177"/>
      <c r="E73" s="177"/>
      <c r="F73" s="591">
        <f>((R80*0.4)+(R76))+(4*(R87/R78))-(R88*(1-(0.4*R75)))</f>
        <v>1756793.2788100196</v>
      </c>
      <c r="G73" s="591"/>
      <c r="H73" s="591"/>
      <c r="I73" s="591">
        <f>F73/R97</f>
        <v>73199.719950417479</v>
      </c>
      <c r="J73" s="591"/>
      <c r="K73" s="591"/>
      <c r="L73" s="591">
        <f>L71</f>
        <v>198.4</v>
      </c>
      <c r="M73" s="591"/>
      <c r="N73" s="591"/>
      <c r="O73" s="591">
        <f>O67</f>
        <v>170.83333333333334</v>
      </c>
      <c r="P73" s="591"/>
      <c r="Q73" s="592" t="str">
        <f t="shared" si="0"/>
        <v xml:space="preserve"> Required</v>
      </c>
      <c r="R73" s="592"/>
      <c r="S73" s="588">
        <f>I73/L73</f>
        <v>368.95020136299132</v>
      </c>
      <c r="T73" s="589"/>
    </row>
    <row r="74" spans="1:20" ht="27.75" customHeight="1">
      <c r="A74" s="186" t="s">
        <v>501</v>
      </c>
      <c r="B74" s="186"/>
      <c r="C74" s="186"/>
      <c r="D74" s="186"/>
      <c r="E74" s="186"/>
      <c r="F74" s="186"/>
      <c r="G74" s="186"/>
      <c r="H74" s="186"/>
      <c r="I74" s="186"/>
      <c r="J74" s="186"/>
      <c r="K74" s="186"/>
      <c r="L74" s="186"/>
      <c r="M74" s="186"/>
      <c r="N74" s="186"/>
      <c r="O74" s="186"/>
      <c r="P74" s="186"/>
      <c r="Q74" s="186"/>
      <c r="R74" s="186"/>
      <c r="S74" s="590">
        <f>MAX(S66:T73)</f>
        <v>368.95020136299132</v>
      </c>
      <c r="T74" s="590"/>
    </row>
    <row r="75" spans="1:20" ht="15">
      <c r="A75" s="391" t="s">
        <v>494</v>
      </c>
      <c r="B75" s="391"/>
      <c r="C75" s="391"/>
      <c r="D75" s="391"/>
      <c r="E75" s="391"/>
      <c r="F75" s="391"/>
      <c r="G75" s="391"/>
      <c r="H75" s="391"/>
      <c r="I75" s="391"/>
      <c r="J75" s="391"/>
      <c r="K75" s="391"/>
      <c r="L75" s="391"/>
      <c r="M75" s="391"/>
      <c r="N75" s="391"/>
      <c r="O75" s="391"/>
      <c r="P75" s="30"/>
      <c r="Q75" s="30"/>
      <c r="R75" s="383">
        <f>'Seismic design2007'!F91</f>
        <v>0.35174999999999995</v>
      </c>
      <c r="S75" s="383"/>
      <c r="T75" s="30"/>
    </row>
    <row r="76" spans="1:20" ht="15">
      <c r="A76" s="391" t="s">
        <v>414</v>
      </c>
      <c r="B76" s="391"/>
      <c r="C76" s="391"/>
      <c r="D76" s="391"/>
      <c r="E76" s="391"/>
      <c r="F76" s="391"/>
      <c r="G76" s="391"/>
      <c r="H76" s="391"/>
      <c r="I76" s="391"/>
      <c r="J76" s="391"/>
      <c r="K76" s="391"/>
      <c r="L76" s="391"/>
      <c r="M76" s="391"/>
      <c r="N76" s="391"/>
      <c r="O76" s="391"/>
      <c r="P76" s="30"/>
      <c r="Q76" s="30"/>
      <c r="R76" s="383">
        <f>'Wind overturning stability'!T71</f>
        <v>2.2066349030470915</v>
      </c>
      <c r="S76" s="383"/>
      <c r="T76" s="30"/>
    </row>
    <row r="77" spans="1:20" ht="15">
      <c r="A77" s="391" t="s">
        <v>415</v>
      </c>
      <c r="B77" s="391"/>
      <c r="C77" s="391"/>
      <c r="D77" s="391"/>
      <c r="E77" s="391"/>
      <c r="F77" s="391"/>
      <c r="G77" s="391"/>
      <c r="H77" s="391"/>
      <c r="I77" s="391"/>
      <c r="J77" s="391"/>
      <c r="K77" s="391"/>
      <c r="L77" s="391"/>
      <c r="M77" s="391"/>
      <c r="N77" s="391"/>
      <c r="O77" s="391"/>
      <c r="P77" s="30"/>
      <c r="Q77" s="30"/>
      <c r="R77" s="383">
        <f>'Wind overturning stability'!T70</f>
        <v>1.3269628808864267</v>
      </c>
      <c r="S77" s="383"/>
      <c r="T77" s="30"/>
    </row>
    <row r="78" spans="1:20" ht="15">
      <c r="A78" s="391" t="s">
        <v>417</v>
      </c>
      <c r="B78" s="391"/>
      <c r="C78" s="391"/>
      <c r="D78" s="391"/>
      <c r="E78" s="391"/>
      <c r="F78" s="391"/>
      <c r="G78" s="391"/>
      <c r="H78" s="391"/>
      <c r="I78" s="391"/>
      <c r="J78" s="391"/>
      <c r="K78" s="391"/>
      <c r="L78" s="391"/>
      <c r="M78" s="391"/>
      <c r="N78" s="391"/>
      <c r="O78" s="391"/>
      <c r="P78" s="391"/>
      <c r="Q78" s="30"/>
      <c r="R78" s="383">
        <f>'Seismic design2007'!Q34</f>
        <v>13</v>
      </c>
      <c r="S78" s="383"/>
      <c r="T78" s="30"/>
    </row>
    <row r="79" spans="1:20" ht="15">
      <c r="A79" s="391" t="s">
        <v>418</v>
      </c>
      <c r="B79" s="391"/>
      <c r="C79" s="391"/>
      <c r="D79" s="391"/>
      <c r="E79" s="391"/>
      <c r="F79" s="391"/>
      <c r="G79" s="391"/>
      <c r="H79" s="391"/>
      <c r="I79" s="391"/>
      <c r="J79" s="391"/>
      <c r="K79" s="391"/>
      <c r="L79" s="391"/>
      <c r="M79" s="391"/>
      <c r="N79" s="391"/>
      <c r="O79" s="391"/>
      <c r="P79" s="391"/>
      <c r="Q79" s="30"/>
      <c r="R79" s="383">
        <f>COVER!H154/1000</f>
        <v>9.5</v>
      </c>
      <c r="S79" s="383"/>
      <c r="T79" s="30"/>
    </row>
    <row r="80" spans="1:20" ht="15">
      <c r="A80" s="391" t="s">
        <v>419</v>
      </c>
      <c r="B80" s="391"/>
      <c r="C80" s="391"/>
      <c r="D80" s="391"/>
      <c r="E80" s="391"/>
      <c r="F80" s="391"/>
      <c r="G80" s="391"/>
      <c r="H80" s="391"/>
      <c r="I80" s="391"/>
      <c r="J80" s="391"/>
      <c r="K80" s="391"/>
      <c r="L80" s="391"/>
      <c r="M80" s="391"/>
      <c r="N80" s="391"/>
      <c r="O80" s="391"/>
      <c r="P80" s="391"/>
      <c r="Q80" s="30"/>
      <c r="R80" s="383">
        <v>0</v>
      </c>
      <c r="S80" s="383"/>
      <c r="T80" s="30"/>
    </row>
    <row r="81" spans="1:20" ht="15">
      <c r="A81" s="391" t="s">
        <v>420</v>
      </c>
      <c r="B81" s="391"/>
      <c r="C81" s="391"/>
      <c r="D81" s="391"/>
      <c r="E81" s="391"/>
      <c r="F81" s="391"/>
      <c r="G81" s="391"/>
      <c r="H81" s="391"/>
      <c r="I81" s="391"/>
      <c r="J81" s="391"/>
      <c r="K81" s="391"/>
      <c r="L81" s="391"/>
      <c r="M81" s="391"/>
      <c r="N81" s="391"/>
      <c r="O81" s="391"/>
      <c r="P81" s="391"/>
      <c r="Q81" s="30"/>
      <c r="R81" s="383">
        <f>1.6*R80-((0.000746*R82)/R78^2)</f>
        <v>-0.57674364245442067</v>
      </c>
      <c r="S81" s="383"/>
      <c r="T81" s="30"/>
    </row>
    <row r="82" spans="1:20" ht="15">
      <c r="A82" s="379" t="s">
        <v>421</v>
      </c>
      <c r="B82" s="379"/>
      <c r="C82" s="379"/>
      <c r="D82" s="379"/>
      <c r="E82" s="379"/>
      <c r="F82" s="379"/>
      <c r="G82" s="379"/>
      <c r="H82" s="379"/>
      <c r="I82" s="379"/>
      <c r="J82" s="379"/>
      <c r="K82" s="379"/>
      <c r="L82" s="379"/>
      <c r="M82" s="379"/>
      <c r="N82" s="379"/>
      <c r="O82" s="379"/>
      <c r="P82" s="31"/>
      <c r="Q82" s="31"/>
      <c r="R82" s="380">
        <f>'Roof design'!E40*9.81</f>
        <v>130656.40157479502</v>
      </c>
      <c r="S82" s="380"/>
      <c r="T82" s="31"/>
    </row>
    <row r="83" spans="1:20" ht="15">
      <c r="A83" s="379"/>
      <c r="B83" s="379"/>
      <c r="C83" s="379"/>
      <c r="D83" s="379"/>
      <c r="E83" s="379"/>
      <c r="F83" s="379"/>
      <c r="G83" s="379"/>
      <c r="H83" s="379"/>
      <c r="I83" s="379"/>
      <c r="J83" s="379"/>
      <c r="K83" s="379"/>
      <c r="L83" s="379"/>
      <c r="M83" s="379"/>
      <c r="N83" s="379"/>
      <c r="O83" s="379"/>
      <c r="P83" s="31"/>
      <c r="Q83" s="31"/>
      <c r="R83" s="380"/>
      <c r="S83" s="380"/>
      <c r="T83" s="31"/>
    </row>
    <row r="84" spans="1:20" ht="15">
      <c r="A84" s="391" t="s">
        <v>422</v>
      </c>
      <c r="B84" s="391"/>
      <c r="C84" s="391"/>
      <c r="D84" s="391"/>
      <c r="E84" s="391"/>
      <c r="F84" s="391"/>
      <c r="G84" s="391"/>
      <c r="H84" s="391"/>
      <c r="I84" s="391"/>
      <c r="J84" s="391"/>
      <c r="K84" s="391"/>
      <c r="L84" s="391"/>
      <c r="M84" s="391"/>
      <c r="N84" s="391"/>
      <c r="O84" s="391"/>
      <c r="P84" s="391"/>
      <c r="Q84" s="30"/>
      <c r="R84" s="383">
        <f>'Roof design'!Q27</f>
        <v>8</v>
      </c>
      <c r="S84" s="383"/>
      <c r="T84" s="30"/>
    </row>
    <row r="85" spans="1:20" ht="15">
      <c r="A85" s="391" t="s">
        <v>423</v>
      </c>
      <c r="B85" s="391"/>
      <c r="C85" s="391"/>
      <c r="D85" s="391"/>
      <c r="E85" s="391"/>
      <c r="F85" s="391"/>
      <c r="G85" s="391"/>
      <c r="H85" s="391"/>
      <c r="I85" s="391"/>
      <c r="J85" s="391"/>
      <c r="K85" s="391"/>
      <c r="L85" s="391"/>
      <c r="M85" s="391"/>
      <c r="N85" s="391"/>
      <c r="O85" s="391"/>
      <c r="P85" s="391"/>
      <c r="Q85" s="30"/>
      <c r="R85" s="383">
        <f>'Wind overturning stability'!P76</f>
        <v>2682225.6696558683</v>
      </c>
      <c r="S85" s="383"/>
      <c r="T85" s="30"/>
    </row>
    <row r="86" spans="1:20" ht="15">
      <c r="A86" s="391" t="s">
        <v>424</v>
      </c>
      <c r="B86" s="391"/>
      <c r="C86" s="391"/>
      <c r="D86" s="391"/>
      <c r="E86" s="391"/>
      <c r="F86" s="391"/>
      <c r="G86" s="391"/>
      <c r="H86" s="391"/>
      <c r="I86" s="391"/>
      <c r="J86" s="391"/>
      <c r="K86" s="391"/>
      <c r="L86" s="391"/>
      <c r="M86" s="391"/>
      <c r="N86" s="391"/>
      <c r="O86" s="391"/>
      <c r="P86" s="30"/>
      <c r="Q86" s="30"/>
      <c r="R86" s="383">
        <f>R77*R78*((R79)^2)/2</f>
        <v>778.42960000000005</v>
      </c>
      <c r="S86" s="383"/>
      <c r="T86" s="30"/>
    </row>
    <row r="87" spans="1:20" ht="15">
      <c r="A87" s="391" t="s">
        <v>495</v>
      </c>
      <c r="B87" s="391"/>
      <c r="C87" s="391"/>
      <c r="D87" s="391"/>
      <c r="E87" s="391"/>
      <c r="F87" s="391"/>
      <c r="G87" s="391"/>
      <c r="H87" s="391"/>
      <c r="I87" s="391"/>
      <c r="J87" s="391"/>
      <c r="K87" s="391"/>
      <c r="L87" s="391"/>
      <c r="M87" s="391"/>
      <c r="N87" s="391"/>
      <c r="O87" s="391"/>
      <c r="P87" s="391"/>
      <c r="Q87" s="391"/>
      <c r="R87" s="383">
        <f>'Seismic design2007'!D280</f>
        <v>6929589.8409908693</v>
      </c>
      <c r="S87" s="383"/>
      <c r="T87" s="30"/>
    </row>
    <row r="88" spans="1:20" ht="15">
      <c r="A88" s="557" t="s">
        <v>425</v>
      </c>
      <c r="B88" s="391"/>
      <c r="C88" s="391"/>
      <c r="D88" s="391"/>
      <c r="E88" s="391"/>
      <c r="F88" s="391"/>
      <c r="G88" s="391"/>
      <c r="H88" s="391"/>
      <c r="I88" s="391"/>
      <c r="J88" s="391"/>
      <c r="K88" s="391"/>
      <c r="L88" s="391"/>
      <c r="M88" s="391"/>
      <c r="N88" s="391"/>
      <c r="O88" s="391"/>
      <c r="P88" s="391"/>
      <c r="Q88" s="391"/>
      <c r="R88" s="380">
        <f>('Shell Plate Design '!S47+'Roof design'!Q31+('Shell Plate Design '!S47*0.5))*9.8</f>
        <v>436856.06582164014</v>
      </c>
      <c r="S88" s="380"/>
      <c r="T88" s="30"/>
    </row>
    <row r="89" spans="1:20" ht="15">
      <c r="A89" s="391"/>
      <c r="B89" s="391"/>
      <c r="C89" s="391"/>
      <c r="D89" s="391"/>
      <c r="E89" s="391"/>
      <c r="F89" s="391"/>
      <c r="G89" s="391"/>
      <c r="H89" s="391"/>
      <c r="I89" s="391"/>
      <c r="J89" s="391"/>
      <c r="K89" s="391"/>
      <c r="L89" s="391"/>
      <c r="M89" s="391"/>
      <c r="N89" s="391"/>
      <c r="O89" s="391"/>
      <c r="P89" s="391"/>
      <c r="Q89" s="391"/>
      <c r="R89" s="380"/>
      <c r="S89" s="380"/>
      <c r="T89" s="30"/>
    </row>
    <row r="90" spans="1:20" ht="15">
      <c r="A90" s="391"/>
      <c r="B90" s="391"/>
      <c r="C90" s="391"/>
      <c r="D90" s="391"/>
      <c r="E90" s="391"/>
      <c r="F90" s="391"/>
      <c r="G90" s="391"/>
      <c r="H90" s="391"/>
      <c r="I90" s="391"/>
      <c r="J90" s="391"/>
      <c r="K90" s="391"/>
      <c r="L90" s="391"/>
      <c r="M90" s="391"/>
      <c r="N90" s="391"/>
      <c r="O90" s="391"/>
      <c r="P90" s="391"/>
      <c r="Q90" s="391"/>
      <c r="R90" s="380"/>
      <c r="S90" s="380"/>
      <c r="T90" s="30"/>
    </row>
    <row r="91" spans="1:20" ht="15">
      <c r="A91" s="557" t="s">
        <v>426</v>
      </c>
      <c r="B91" s="391"/>
      <c r="C91" s="391"/>
      <c r="D91" s="391"/>
      <c r="E91" s="391"/>
      <c r="F91" s="391"/>
      <c r="G91" s="391"/>
      <c r="H91" s="391"/>
      <c r="I91" s="391"/>
      <c r="J91" s="391"/>
      <c r="K91" s="391"/>
      <c r="L91" s="391"/>
      <c r="M91" s="391"/>
      <c r="N91" s="391"/>
      <c r="O91" s="391"/>
      <c r="P91" s="391"/>
      <c r="Q91" s="391"/>
      <c r="R91" s="380">
        <f>R88+('roof design(2)'!J42*9.8)</f>
        <v>578202.84269415238</v>
      </c>
      <c r="S91" s="380"/>
      <c r="T91" s="30"/>
    </row>
    <row r="92" spans="1:20" ht="15">
      <c r="A92" s="391"/>
      <c r="B92" s="391"/>
      <c r="C92" s="391"/>
      <c r="D92" s="391"/>
      <c r="E92" s="391"/>
      <c r="F92" s="391"/>
      <c r="G92" s="391"/>
      <c r="H92" s="391"/>
      <c r="I92" s="391"/>
      <c r="J92" s="391"/>
      <c r="K92" s="391"/>
      <c r="L92" s="391"/>
      <c r="M92" s="391"/>
      <c r="N92" s="391"/>
      <c r="O92" s="391"/>
      <c r="P92" s="391"/>
      <c r="Q92" s="391"/>
      <c r="R92" s="380"/>
      <c r="S92" s="380"/>
      <c r="T92" s="30"/>
    </row>
    <row r="93" spans="1:20" ht="15">
      <c r="A93" s="391"/>
      <c r="B93" s="391"/>
      <c r="C93" s="391"/>
      <c r="D93" s="391"/>
      <c r="E93" s="391"/>
      <c r="F93" s="391"/>
      <c r="G93" s="391"/>
      <c r="H93" s="391"/>
      <c r="I93" s="391"/>
      <c r="J93" s="391"/>
      <c r="K93" s="391"/>
      <c r="L93" s="391"/>
      <c r="M93" s="391"/>
      <c r="N93" s="391"/>
      <c r="O93" s="391"/>
      <c r="P93" s="391"/>
      <c r="Q93" s="391"/>
      <c r="R93" s="380"/>
      <c r="S93" s="380"/>
      <c r="T93" s="30"/>
    </row>
    <row r="94" spans="1:20" ht="15">
      <c r="A94" s="387" t="s">
        <v>427</v>
      </c>
      <c r="B94" s="379"/>
      <c r="C94" s="379"/>
      <c r="D94" s="379"/>
      <c r="E94" s="379"/>
      <c r="F94" s="379"/>
      <c r="G94" s="379"/>
      <c r="H94" s="379"/>
      <c r="I94" s="379"/>
      <c r="J94" s="379"/>
      <c r="K94" s="379"/>
      <c r="L94" s="379"/>
      <c r="M94" s="379"/>
      <c r="N94" s="379"/>
      <c r="O94" s="379"/>
      <c r="P94" s="379"/>
      <c r="Q94" s="379"/>
      <c r="R94" s="380">
        <f>'Shell Plate Design '!S47*9.8</f>
        <v>204221.90080036008</v>
      </c>
      <c r="S94" s="380"/>
      <c r="T94" s="30"/>
    </row>
    <row r="95" spans="1:20" ht="15">
      <c r="A95" s="379"/>
      <c r="B95" s="379"/>
      <c r="C95" s="379"/>
      <c r="D95" s="379"/>
      <c r="E95" s="379"/>
      <c r="F95" s="379"/>
      <c r="G95" s="379"/>
      <c r="H95" s="379"/>
      <c r="I95" s="379"/>
      <c r="J95" s="379"/>
      <c r="K95" s="379"/>
      <c r="L95" s="379"/>
      <c r="M95" s="379"/>
      <c r="N95" s="379"/>
      <c r="O95" s="379"/>
      <c r="P95" s="379"/>
      <c r="Q95" s="379"/>
      <c r="R95" s="380"/>
      <c r="S95" s="380"/>
      <c r="T95" s="30"/>
    </row>
    <row r="96" spans="1:20" ht="15">
      <c r="A96" s="379"/>
      <c r="B96" s="379"/>
      <c r="C96" s="379"/>
      <c r="D96" s="379"/>
      <c r="E96" s="379"/>
      <c r="F96" s="379"/>
      <c r="G96" s="379"/>
      <c r="H96" s="379"/>
      <c r="I96" s="379"/>
      <c r="J96" s="379"/>
      <c r="K96" s="379"/>
      <c r="L96" s="379"/>
      <c r="M96" s="379"/>
      <c r="N96" s="379"/>
      <c r="O96" s="379"/>
      <c r="P96" s="379"/>
      <c r="Q96" s="379"/>
      <c r="R96" s="380"/>
      <c r="S96" s="380"/>
      <c r="T96" s="30"/>
    </row>
    <row r="97" spans="1:20" ht="15">
      <c r="A97" s="391" t="s">
        <v>428</v>
      </c>
      <c r="B97" s="391"/>
      <c r="C97" s="391"/>
      <c r="D97" s="391"/>
      <c r="E97" s="391"/>
      <c r="F97" s="391"/>
      <c r="G97" s="391"/>
      <c r="H97" s="391"/>
      <c r="I97" s="391"/>
      <c r="J97" s="391"/>
      <c r="K97" s="391"/>
      <c r="L97" s="391"/>
      <c r="M97" s="391"/>
      <c r="N97" s="391"/>
      <c r="O97" s="391"/>
      <c r="P97" s="391"/>
      <c r="Q97" s="391"/>
      <c r="R97" s="383">
        <f>I50</f>
        <v>24</v>
      </c>
      <c r="S97" s="383"/>
      <c r="T97" s="30"/>
    </row>
    <row r="98" spans="1:20" ht="15">
      <c r="A98" s="391" t="s">
        <v>496</v>
      </c>
      <c r="B98" s="391"/>
      <c r="C98" s="391"/>
      <c r="D98" s="391"/>
      <c r="E98" s="391"/>
      <c r="F98" s="391"/>
      <c r="G98" s="391"/>
      <c r="H98" s="391"/>
      <c r="I98" s="391"/>
      <c r="J98" s="391"/>
      <c r="K98" s="391"/>
      <c r="L98" s="391"/>
      <c r="M98" s="391"/>
      <c r="N98" s="391"/>
      <c r="O98" s="391"/>
      <c r="P98" s="391"/>
      <c r="Q98" s="30"/>
      <c r="R98" s="383">
        <v>248</v>
      </c>
      <c r="S98" s="383"/>
      <c r="T98" s="30"/>
    </row>
    <row r="99" spans="1:20" ht="15">
      <c r="A99" s="391" t="s">
        <v>497</v>
      </c>
      <c r="B99" s="391"/>
      <c r="C99" s="391"/>
      <c r="D99" s="391"/>
      <c r="E99" s="391"/>
      <c r="F99" s="391"/>
      <c r="G99" s="391"/>
      <c r="H99" s="391"/>
      <c r="I99" s="391"/>
      <c r="J99" s="391"/>
      <c r="K99" s="391"/>
      <c r="L99" s="391"/>
      <c r="M99" s="391"/>
      <c r="N99" s="391"/>
      <c r="O99" s="391"/>
      <c r="P99" s="391"/>
      <c r="Q99" s="391"/>
      <c r="R99" s="383">
        <f>COVER!J228</f>
        <v>205</v>
      </c>
      <c r="S99" s="383"/>
      <c r="T99" s="30"/>
    </row>
    <row r="100" spans="1:20" ht="15" customHeight="1">
      <c r="A100" s="30"/>
      <c r="B100" s="580" t="s">
        <v>499</v>
      </c>
      <c r="C100" s="580"/>
      <c r="D100" s="580"/>
      <c r="E100" s="580"/>
      <c r="F100" s="580"/>
      <c r="G100" s="580"/>
      <c r="H100" s="580"/>
      <c r="I100" s="580"/>
      <c r="J100" s="580"/>
      <c r="K100" s="580"/>
      <c r="L100" s="580"/>
      <c r="M100" s="580"/>
      <c r="N100" s="580"/>
      <c r="O100" s="580"/>
      <c r="P100" s="580"/>
      <c r="Q100" s="580"/>
      <c r="R100" s="580"/>
      <c r="S100" s="580"/>
      <c r="T100" s="30"/>
    </row>
    <row r="101" spans="1:20" ht="15" customHeight="1">
      <c r="A101" s="30"/>
      <c r="B101" s="580"/>
      <c r="C101" s="580"/>
      <c r="D101" s="580"/>
      <c r="E101" s="580"/>
      <c r="F101" s="580"/>
      <c r="G101" s="580"/>
      <c r="H101" s="580"/>
      <c r="I101" s="580"/>
      <c r="J101" s="580"/>
      <c r="K101" s="580"/>
      <c r="L101" s="580"/>
      <c r="M101" s="580"/>
      <c r="N101" s="580"/>
      <c r="O101" s="580"/>
      <c r="P101" s="580"/>
      <c r="Q101" s="580"/>
      <c r="R101" s="580"/>
      <c r="S101" s="580"/>
      <c r="T101" s="30"/>
    </row>
    <row r="102" spans="1:20" ht="15" customHeight="1">
      <c r="A102" s="30"/>
      <c r="B102" s="581" t="s">
        <v>498</v>
      </c>
      <c r="C102" s="579"/>
      <c r="D102" s="579"/>
      <c r="E102" s="579"/>
      <c r="F102" s="579"/>
      <c r="G102" s="579"/>
      <c r="H102" s="579"/>
      <c r="I102" s="579"/>
      <c r="J102" s="579"/>
      <c r="K102" s="579"/>
      <c r="L102" s="579"/>
      <c r="M102" s="579"/>
      <c r="N102" s="579"/>
      <c r="O102" s="579"/>
      <c r="P102" s="579"/>
      <c r="Q102" s="579"/>
      <c r="R102" s="579"/>
      <c r="S102" s="579"/>
      <c r="T102" s="30"/>
    </row>
    <row r="103" spans="1:20" ht="15" customHeight="1" thickBot="1">
      <c r="A103" s="30"/>
      <c r="B103" s="579"/>
      <c r="C103" s="579"/>
      <c r="D103" s="579"/>
      <c r="E103" s="579"/>
      <c r="F103" s="579"/>
      <c r="G103" s="579"/>
      <c r="H103" s="579"/>
      <c r="I103" s="579"/>
      <c r="J103" s="579"/>
      <c r="K103" s="579"/>
      <c r="L103" s="579"/>
      <c r="M103" s="579"/>
      <c r="N103" s="579"/>
      <c r="O103" s="579"/>
      <c r="P103" s="579"/>
      <c r="Q103" s="579"/>
      <c r="R103" s="579"/>
      <c r="S103" s="579"/>
      <c r="T103" s="30"/>
    </row>
    <row r="104" spans="1:20" ht="30.75" customHeight="1" thickBot="1">
      <c r="A104" s="30"/>
      <c r="B104" s="582" t="s">
        <v>500</v>
      </c>
      <c r="C104" s="583"/>
      <c r="D104" s="583"/>
      <c r="E104" s="583"/>
      <c r="F104" s="583"/>
      <c r="G104" s="119" t="s">
        <v>70</v>
      </c>
      <c r="H104" s="122">
        <v>30</v>
      </c>
      <c r="I104" s="123" t="s">
        <v>93</v>
      </c>
      <c r="J104" s="584">
        <v>503</v>
      </c>
      <c r="K104" s="584"/>
      <c r="L104" s="108" t="s">
        <v>737</v>
      </c>
      <c r="M104" s="119"/>
      <c r="N104" s="585" t="str">
        <f>IF(S74&lt;J104,"Yes","No")</f>
        <v>Yes</v>
      </c>
      <c r="O104" s="586"/>
      <c r="P104" s="586"/>
      <c r="Q104" s="586"/>
      <c r="R104" s="586"/>
      <c r="S104" s="587"/>
      <c r="T104" s="30"/>
    </row>
    <row r="105" spans="1:20" ht="30.75" customHeight="1">
      <c r="A105" s="30"/>
      <c r="B105" s="120"/>
      <c r="C105" s="60"/>
      <c r="D105" s="60"/>
      <c r="E105" s="60"/>
      <c r="F105" s="60"/>
      <c r="G105" s="40"/>
      <c r="H105" s="121"/>
      <c r="I105" s="121"/>
      <c r="J105" s="121"/>
      <c r="K105" s="121"/>
      <c r="L105" s="121"/>
      <c r="M105" s="121"/>
      <c r="N105" s="121"/>
      <c r="O105" s="121"/>
      <c r="P105" s="121"/>
      <c r="Q105" s="121"/>
      <c r="R105" s="121"/>
      <c r="S105" s="121"/>
      <c r="T105" s="30"/>
    </row>
    <row r="106" spans="1:20" ht="30.75" customHeight="1">
      <c r="A106" s="30"/>
      <c r="B106" s="120"/>
      <c r="C106" s="60"/>
      <c r="D106" s="60"/>
      <c r="E106" s="60"/>
      <c r="F106" s="60"/>
      <c r="G106" s="40"/>
      <c r="H106" s="121"/>
      <c r="I106" s="121"/>
      <c r="J106" s="121"/>
      <c r="K106" s="121"/>
      <c r="L106" s="121"/>
      <c r="M106" s="121"/>
      <c r="N106" s="121"/>
      <c r="O106" s="121"/>
      <c r="P106" s="121"/>
      <c r="Q106" s="121"/>
      <c r="R106" s="121"/>
      <c r="S106" s="121"/>
      <c r="T106" s="30"/>
    </row>
    <row r="107" spans="1:20" ht="30.75" customHeight="1">
      <c r="A107" s="30"/>
      <c r="B107" s="120"/>
      <c r="C107" s="60"/>
      <c r="D107" s="60"/>
      <c r="E107" s="60"/>
      <c r="F107" s="60"/>
      <c r="G107" s="40"/>
      <c r="H107" s="121"/>
      <c r="I107" s="121"/>
      <c r="J107" s="121"/>
      <c r="K107" s="121"/>
      <c r="L107" s="121"/>
      <c r="M107" s="121"/>
      <c r="N107" s="121"/>
      <c r="O107" s="121"/>
      <c r="P107" s="121"/>
      <c r="Q107" s="121"/>
      <c r="R107" s="121"/>
      <c r="S107" s="121"/>
      <c r="T107" s="30"/>
    </row>
    <row r="108" spans="1:20" ht="30.75" customHeight="1">
      <c r="A108" s="30"/>
      <c r="B108" s="120"/>
      <c r="C108" s="60"/>
      <c r="D108" s="60"/>
      <c r="E108" s="60"/>
      <c r="F108" s="60"/>
      <c r="G108" s="40"/>
      <c r="H108" s="121"/>
      <c r="I108" s="121"/>
      <c r="J108" s="121"/>
      <c r="K108" s="121"/>
      <c r="L108" s="121"/>
      <c r="M108" s="121"/>
      <c r="N108" s="121"/>
      <c r="O108" s="121"/>
      <c r="P108" s="121"/>
      <c r="Q108" s="121"/>
      <c r="R108" s="121"/>
      <c r="S108" s="121"/>
      <c r="T108" s="30"/>
    </row>
    <row r="109" spans="1:20" ht="30.75" customHeight="1">
      <c r="A109" s="30"/>
      <c r="B109" s="120"/>
      <c r="C109" s="60"/>
      <c r="D109" s="60"/>
      <c r="E109" s="60"/>
      <c r="F109" s="60"/>
      <c r="G109" s="40"/>
      <c r="H109" s="121"/>
      <c r="I109" s="121"/>
      <c r="J109" s="121"/>
      <c r="K109" s="121"/>
      <c r="L109" s="121"/>
      <c r="M109" s="121"/>
      <c r="N109" s="121"/>
      <c r="O109" s="121"/>
      <c r="P109" s="121"/>
      <c r="Q109" s="121"/>
      <c r="R109" s="121"/>
      <c r="S109" s="121"/>
      <c r="T109" s="30"/>
    </row>
    <row r="110" spans="1:20" ht="30.75" customHeight="1">
      <c r="A110" s="30"/>
      <c r="B110" s="120"/>
      <c r="C110" s="60"/>
      <c r="D110" s="60"/>
      <c r="E110" s="60"/>
      <c r="F110" s="60"/>
      <c r="G110" s="40"/>
      <c r="H110" s="121"/>
      <c r="I110" s="121"/>
      <c r="J110" s="121"/>
      <c r="K110" s="121"/>
      <c r="L110" s="121"/>
      <c r="M110" s="121"/>
      <c r="N110" s="121"/>
      <c r="O110" s="121"/>
      <c r="P110" s="121"/>
      <c r="Q110" s="121"/>
      <c r="R110" s="121"/>
      <c r="S110" s="121"/>
      <c r="T110" s="30"/>
    </row>
    <row r="111" spans="1:20" ht="30.75" customHeight="1">
      <c r="A111" s="30"/>
      <c r="B111" s="120"/>
      <c r="C111" s="60"/>
      <c r="D111" s="60"/>
      <c r="E111" s="60"/>
      <c r="F111" s="60"/>
      <c r="G111" s="40"/>
      <c r="H111" s="121"/>
      <c r="I111" s="121"/>
      <c r="J111" s="121"/>
      <c r="K111" s="121"/>
      <c r="L111" s="121"/>
      <c r="M111" s="121"/>
      <c r="N111" s="121"/>
      <c r="O111" s="121"/>
      <c r="P111" s="121"/>
      <c r="Q111" s="121"/>
      <c r="R111" s="121"/>
      <c r="S111" s="121"/>
      <c r="T111" s="30"/>
    </row>
    <row r="112" spans="1:20" ht="30.75" customHeight="1">
      <c r="A112" s="30"/>
      <c r="B112" s="120"/>
      <c r="C112" s="60"/>
      <c r="D112" s="60"/>
      <c r="E112" s="60"/>
      <c r="F112" s="60"/>
      <c r="G112" s="40"/>
      <c r="H112" s="121"/>
      <c r="I112" s="121"/>
      <c r="J112" s="121"/>
      <c r="K112" s="121"/>
      <c r="L112" s="121"/>
      <c r="M112" s="121"/>
      <c r="N112" s="121"/>
      <c r="O112" s="121"/>
      <c r="P112" s="121"/>
      <c r="Q112" s="121"/>
      <c r="R112" s="121"/>
      <c r="S112" s="121"/>
      <c r="T112" s="30"/>
    </row>
    <row r="113" spans="1:22" ht="30.75" customHeight="1">
      <c r="A113" s="30"/>
      <c r="B113" s="120"/>
      <c r="C113" s="60"/>
      <c r="D113" s="60"/>
      <c r="E113" s="60"/>
      <c r="F113" s="60"/>
      <c r="G113" s="40"/>
      <c r="H113" s="121"/>
      <c r="I113" s="121"/>
      <c r="J113" s="121"/>
      <c r="K113" s="121"/>
      <c r="L113" s="121"/>
      <c r="M113" s="121"/>
      <c r="N113" s="121"/>
      <c r="O113" s="121"/>
      <c r="P113" s="121"/>
      <c r="Q113" s="121"/>
      <c r="R113" s="121"/>
      <c r="S113" s="121"/>
      <c r="T113" s="30"/>
    </row>
    <row r="114" spans="1:22" ht="30.75" customHeight="1">
      <c r="A114" s="30"/>
      <c r="B114" s="120"/>
      <c r="C114" s="60"/>
      <c r="D114" s="60"/>
      <c r="E114" s="60"/>
      <c r="F114" s="60"/>
      <c r="G114" s="40"/>
      <c r="H114" s="121"/>
      <c r="I114" s="121"/>
      <c r="J114" s="121"/>
      <c r="K114" s="121"/>
      <c r="L114" s="121"/>
      <c r="M114" s="121"/>
      <c r="N114" s="121"/>
      <c r="O114" s="121"/>
      <c r="P114" s="121"/>
      <c r="Q114" s="121"/>
      <c r="R114" s="121"/>
      <c r="S114" s="121"/>
      <c r="T114" s="30"/>
    </row>
    <row r="115" spans="1:22" ht="30.75" customHeight="1">
      <c r="A115" s="30"/>
      <c r="B115" s="120"/>
      <c r="C115" s="60"/>
      <c r="D115" s="60"/>
      <c r="E115" s="60"/>
      <c r="F115" s="60"/>
      <c r="G115" s="40"/>
      <c r="H115" s="121"/>
      <c r="I115" s="121"/>
      <c r="J115" s="121"/>
      <c r="K115" s="121"/>
      <c r="L115" s="121"/>
      <c r="M115" s="121"/>
      <c r="N115" s="121"/>
      <c r="O115" s="121"/>
      <c r="P115" s="121"/>
      <c r="Q115" s="121"/>
      <c r="R115" s="121"/>
      <c r="S115" s="121"/>
      <c r="T115" s="30"/>
    </row>
    <row r="116" spans="1:22" ht="30.75" customHeight="1">
      <c r="A116" s="30"/>
      <c r="B116" s="120"/>
      <c r="C116" s="60"/>
      <c r="D116" s="60"/>
      <c r="E116" s="60"/>
      <c r="F116" s="60"/>
      <c r="G116" s="40"/>
      <c r="H116" s="121"/>
      <c r="I116" s="121"/>
      <c r="J116" s="121"/>
      <c r="K116" s="121"/>
      <c r="L116" s="121"/>
      <c r="M116" s="121"/>
      <c r="N116" s="121"/>
      <c r="O116" s="121"/>
      <c r="P116" s="121"/>
      <c r="Q116" s="121"/>
      <c r="R116" s="121"/>
      <c r="S116" s="121"/>
      <c r="T116" s="30"/>
    </row>
    <row r="117" spans="1:22" ht="30.75" customHeight="1" thickBot="1">
      <c r="A117" s="30"/>
      <c r="B117" s="120"/>
      <c r="C117" s="60"/>
      <c r="D117" s="60"/>
      <c r="E117" s="60"/>
      <c r="F117" s="60"/>
      <c r="G117" s="40"/>
      <c r="H117" s="121"/>
      <c r="I117" s="121"/>
      <c r="J117" s="121"/>
      <c r="K117" s="121"/>
      <c r="L117" s="121"/>
      <c r="M117" s="121"/>
      <c r="N117" s="121"/>
      <c r="O117" s="121"/>
      <c r="P117" s="121"/>
      <c r="Q117" s="121"/>
      <c r="R117" s="121"/>
      <c r="S117" s="121"/>
      <c r="T117" s="30"/>
    </row>
    <row r="118" spans="1:22" ht="14.45" customHeight="1">
      <c r="A118" s="229"/>
      <c r="B118" s="230"/>
      <c r="C118" s="230"/>
      <c r="D118" s="230"/>
      <c r="E118" s="231"/>
      <c r="F118" s="158" t="str">
        <f>F54</f>
        <v>نگهداشت و افزایش تولید میدان نفتی بینک
سطح الارض و ابنیه تحت الارض 
خرید مخازن ذخیره گاز ایستگاه تقویت فشار گاز بینک 
(قرارداد BK-HD-GCS-CO-0026_00 )</v>
      </c>
      <c r="G118" s="159"/>
      <c r="H118" s="159"/>
      <c r="I118" s="159"/>
      <c r="J118" s="159"/>
      <c r="K118" s="159"/>
      <c r="L118" s="159"/>
      <c r="M118" s="159"/>
      <c r="N118" s="159"/>
      <c r="O118" s="159"/>
      <c r="P118" s="159"/>
      <c r="Q118" s="160"/>
      <c r="R118" s="238"/>
      <c r="S118" s="238"/>
      <c r="T118" s="238"/>
      <c r="U118" s="238"/>
      <c r="V118" s="239"/>
    </row>
    <row r="119" spans="1:22">
      <c r="A119" s="232"/>
      <c r="B119" s="233"/>
      <c r="C119" s="233"/>
      <c r="D119" s="233"/>
      <c r="E119" s="234"/>
      <c r="F119" s="161"/>
      <c r="G119" s="162"/>
      <c r="H119" s="162"/>
      <c r="I119" s="162"/>
      <c r="J119" s="162"/>
      <c r="K119" s="162"/>
      <c r="L119" s="162"/>
      <c r="M119" s="162"/>
      <c r="N119" s="162"/>
      <c r="O119" s="162"/>
      <c r="P119" s="162"/>
      <c r="Q119" s="163"/>
      <c r="R119" s="177"/>
      <c r="S119" s="177"/>
      <c r="T119" s="177"/>
      <c r="U119" s="177"/>
      <c r="V119" s="240"/>
    </row>
    <row r="120" spans="1:22">
      <c r="A120" s="232"/>
      <c r="B120" s="233"/>
      <c r="C120" s="233"/>
      <c r="D120" s="233"/>
      <c r="E120" s="234"/>
      <c r="F120" s="161"/>
      <c r="G120" s="162"/>
      <c r="H120" s="162"/>
      <c r="I120" s="162"/>
      <c r="J120" s="162"/>
      <c r="K120" s="162"/>
      <c r="L120" s="162"/>
      <c r="M120" s="162"/>
      <c r="N120" s="162"/>
      <c r="O120" s="162"/>
      <c r="P120" s="162"/>
      <c r="Q120" s="163"/>
      <c r="R120" s="177"/>
      <c r="S120" s="177"/>
      <c r="T120" s="177"/>
      <c r="U120" s="177"/>
      <c r="V120" s="240"/>
    </row>
    <row r="121" spans="1:22">
      <c r="A121" s="232"/>
      <c r="B121" s="233"/>
      <c r="C121" s="233"/>
      <c r="D121" s="233"/>
      <c r="E121" s="234"/>
      <c r="F121" s="161"/>
      <c r="G121" s="162"/>
      <c r="H121" s="162"/>
      <c r="I121" s="162"/>
      <c r="J121" s="162"/>
      <c r="K121" s="162"/>
      <c r="L121" s="162"/>
      <c r="M121" s="162"/>
      <c r="N121" s="162"/>
      <c r="O121" s="162"/>
      <c r="P121" s="162"/>
      <c r="Q121" s="163"/>
      <c r="R121" s="177"/>
      <c r="S121" s="177"/>
      <c r="T121" s="177"/>
      <c r="U121" s="177"/>
      <c r="V121" s="240"/>
    </row>
    <row r="122" spans="1:22">
      <c r="A122" s="232"/>
      <c r="B122" s="233"/>
      <c r="C122" s="233"/>
      <c r="D122" s="233"/>
      <c r="E122" s="234"/>
      <c r="F122" s="164"/>
      <c r="G122" s="165"/>
      <c r="H122" s="165"/>
      <c r="I122" s="165"/>
      <c r="J122" s="165"/>
      <c r="K122" s="165"/>
      <c r="L122" s="165"/>
      <c r="M122" s="165"/>
      <c r="N122" s="165"/>
      <c r="O122" s="165"/>
      <c r="P122" s="165"/>
      <c r="Q122" s="166"/>
      <c r="R122" s="177"/>
      <c r="S122" s="177"/>
      <c r="T122" s="177"/>
      <c r="U122" s="177"/>
      <c r="V122" s="240"/>
    </row>
    <row r="123" spans="1:22" ht="19.149999999999999" customHeight="1">
      <c r="A123" s="235"/>
      <c r="B123" s="236"/>
      <c r="C123" s="236"/>
      <c r="D123" s="236"/>
      <c r="E123" s="237"/>
      <c r="F123" s="265" t="str">
        <f>F59</f>
        <v>Mechanical Calculation Book For Fire Water Tanks (TK-2301A/B)</v>
      </c>
      <c r="G123" s="266"/>
      <c r="H123" s="266"/>
      <c r="I123" s="266"/>
      <c r="J123" s="266"/>
      <c r="K123" s="266"/>
      <c r="L123" s="266"/>
      <c r="M123" s="266"/>
      <c r="N123" s="266"/>
      <c r="O123" s="266"/>
      <c r="P123" s="266"/>
      <c r="Q123" s="267"/>
      <c r="R123" s="177"/>
      <c r="S123" s="177"/>
      <c r="T123" s="177"/>
      <c r="U123" s="177"/>
      <c r="V123" s="240"/>
    </row>
    <row r="124" spans="1:22" ht="21.6" customHeight="1">
      <c r="A124" s="167" t="s">
        <v>743</v>
      </c>
      <c r="B124" s="168"/>
      <c r="C124" s="168"/>
      <c r="D124" s="168"/>
      <c r="E124" s="169"/>
      <c r="F124" s="125" t="s">
        <v>744</v>
      </c>
      <c r="G124" s="170" t="s">
        <v>745</v>
      </c>
      <c r="H124" s="171"/>
      <c r="I124" s="170" t="s">
        <v>746</v>
      </c>
      <c r="J124" s="171"/>
      <c r="K124" s="170" t="s">
        <v>747</v>
      </c>
      <c r="L124" s="171"/>
      <c r="M124" s="125" t="s">
        <v>748</v>
      </c>
      <c r="N124" s="170" t="s">
        <v>749</v>
      </c>
      <c r="O124" s="171"/>
      <c r="P124" s="125" t="s">
        <v>750</v>
      </c>
      <c r="Q124" s="126" t="s">
        <v>751</v>
      </c>
      <c r="R124" s="172">
        <f>R60</f>
        <v>29</v>
      </c>
      <c r="S124" s="174" t="s">
        <v>752</v>
      </c>
      <c r="T124" s="263">
        <f>T60+1</f>
        <v>27</v>
      </c>
      <c r="U124" s="168" t="s">
        <v>753</v>
      </c>
      <c r="V124" s="188"/>
    </row>
    <row r="125" spans="1:22" ht="24.6" customHeight="1" thickBot="1">
      <c r="A125" s="191" t="s">
        <v>754</v>
      </c>
      <c r="B125" s="175"/>
      <c r="C125" s="175"/>
      <c r="D125" s="175"/>
      <c r="E125" s="192"/>
      <c r="F125" s="132" t="s">
        <v>755</v>
      </c>
      <c r="G125" s="193" t="s">
        <v>756</v>
      </c>
      <c r="H125" s="193"/>
      <c r="I125" s="193" t="s">
        <v>878</v>
      </c>
      <c r="J125" s="193"/>
      <c r="K125" s="193">
        <v>120</v>
      </c>
      <c r="L125" s="193"/>
      <c r="M125" s="132" t="s">
        <v>757</v>
      </c>
      <c r="N125" s="193" t="s">
        <v>879</v>
      </c>
      <c r="O125" s="193"/>
      <c r="P125" s="142" t="s">
        <v>881</v>
      </c>
      <c r="Q125" s="133" t="str">
        <f>Q61</f>
        <v>V01</v>
      </c>
      <c r="R125" s="173"/>
      <c r="S125" s="175"/>
      <c r="T125" s="264"/>
      <c r="U125" s="189"/>
      <c r="V125" s="190"/>
    </row>
    <row r="127" spans="1:22">
      <c r="A127" s="393" t="s">
        <v>529</v>
      </c>
      <c r="B127" s="393"/>
      <c r="C127" s="393"/>
      <c r="D127" s="393"/>
      <c r="E127" s="393"/>
      <c r="F127" s="393"/>
      <c r="G127" s="393"/>
      <c r="H127" s="393"/>
      <c r="I127" s="393"/>
      <c r="J127" s="393"/>
    </row>
    <row r="128" spans="1:22">
      <c r="A128" s="393"/>
      <c r="B128" s="393"/>
      <c r="C128" s="393"/>
      <c r="D128" s="393"/>
      <c r="E128" s="393"/>
      <c r="F128" s="393"/>
      <c r="G128" s="393"/>
      <c r="H128" s="393"/>
      <c r="I128" s="393"/>
      <c r="J128" s="393"/>
    </row>
    <row r="133" spans="6:6" ht="399">
      <c r="F133" s="155" t="s">
        <v>886</v>
      </c>
    </row>
    <row r="149" spans="1:21" ht="18.75">
      <c r="A149" s="390" t="s">
        <v>530</v>
      </c>
      <c r="B149" s="390"/>
      <c r="C149" s="390"/>
      <c r="D149" s="390"/>
      <c r="E149" s="390"/>
      <c r="F149" s="390"/>
      <c r="G149" s="390"/>
      <c r="H149" s="390"/>
      <c r="I149" s="390"/>
      <c r="J149" s="390"/>
      <c r="K149" s="390"/>
      <c r="L149" s="535" t="s">
        <v>552</v>
      </c>
      <c r="M149" s="535"/>
      <c r="N149" s="535">
        <f>(COVER!H153)/1000</f>
        <v>13</v>
      </c>
      <c r="O149" s="535"/>
      <c r="P149" s="535" t="s">
        <v>258</v>
      </c>
      <c r="Q149" s="535"/>
    </row>
    <row r="150" spans="1:21" ht="18.75">
      <c r="A150" s="390" t="s">
        <v>531</v>
      </c>
      <c r="B150" s="390"/>
      <c r="C150" s="390"/>
      <c r="D150" s="390"/>
      <c r="E150" s="390"/>
      <c r="F150" s="390"/>
      <c r="G150" s="390"/>
      <c r="H150" s="390"/>
      <c r="I150" s="390"/>
      <c r="J150" s="390"/>
      <c r="K150" s="390"/>
      <c r="L150" s="578" t="s">
        <v>553</v>
      </c>
      <c r="M150" s="578"/>
      <c r="N150" s="535">
        <v>330</v>
      </c>
      <c r="O150" s="535"/>
      <c r="P150" s="535" t="s">
        <v>29</v>
      </c>
      <c r="Q150" s="535"/>
      <c r="S150" s="75">
        <f>N150/25.4</f>
        <v>12.992125984251969</v>
      </c>
      <c r="U150" s="74" t="s">
        <v>574</v>
      </c>
    </row>
    <row r="151" spans="1:21" ht="18.75">
      <c r="A151" s="390" t="s">
        <v>532</v>
      </c>
      <c r="B151" s="390"/>
      <c r="C151" s="390"/>
      <c r="D151" s="390"/>
      <c r="E151" s="390"/>
      <c r="F151" s="390"/>
      <c r="G151" s="390"/>
      <c r="H151" s="390"/>
      <c r="I151" s="390"/>
      <c r="J151" s="390"/>
      <c r="K151" s="390"/>
      <c r="L151" s="535" t="s">
        <v>554</v>
      </c>
      <c r="M151" s="535"/>
      <c r="N151" s="535">
        <f>P50</f>
        <v>13250</v>
      </c>
      <c r="O151" s="535"/>
      <c r="P151" s="535" t="s">
        <v>29</v>
      </c>
      <c r="Q151" s="535"/>
      <c r="S151" s="75">
        <f t="shared" ref="S151:S153" si="1">N151/25.4</f>
        <v>521.65354330708669</v>
      </c>
      <c r="U151" s="74" t="s">
        <v>574</v>
      </c>
    </row>
    <row r="152" spans="1:21" ht="20.25">
      <c r="A152" s="390" t="s">
        <v>533</v>
      </c>
      <c r="B152" s="390"/>
      <c r="C152" s="390"/>
      <c r="D152" s="390"/>
      <c r="E152" s="390"/>
      <c r="F152" s="390"/>
      <c r="G152" s="390"/>
      <c r="H152" s="390"/>
      <c r="I152" s="390"/>
      <c r="J152" s="390"/>
      <c r="K152" s="390"/>
      <c r="L152" s="535" t="s">
        <v>555</v>
      </c>
      <c r="M152" s="535"/>
      <c r="N152" s="535">
        <v>20</v>
      </c>
      <c r="O152" s="535"/>
      <c r="P152" s="535" t="s">
        <v>29</v>
      </c>
      <c r="Q152" s="535"/>
      <c r="S152" s="75">
        <f t="shared" si="1"/>
        <v>0.78740157480314965</v>
      </c>
      <c r="U152" s="74" t="s">
        <v>574</v>
      </c>
    </row>
    <row r="153" spans="1:21" ht="20.25">
      <c r="A153" s="390" t="s">
        <v>534</v>
      </c>
      <c r="B153" s="390"/>
      <c r="C153" s="390"/>
      <c r="D153" s="390"/>
      <c r="E153" s="390"/>
      <c r="F153" s="390"/>
      <c r="G153" s="390"/>
      <c r="H153" s="390"/>
      <c r="I153" s="390"/>
      <c r="J153" s="390"/>
      <c r="K153" s="390"/>
      <c r="L153" s="535" t="s">
        <v>556</v>
      </c>
      <c r="M153" s="535"/>
      <c r="N153" s="535">
        <f>'Shell Plate Design '!O39</f>
        <v>8</v>
      </c>
      <c r="O153" s="535"/>
      <c r="P153" s="535" t="s">
        <v>29</v>
      </c>
      <c r="Q153" s="535"/>
      <c r="S153" s="75">
        <f t="shared" si="1"/>
        <v>0.31496062992125984</v>
      </c>
      <c r="U153" s="74" t="s">
        <v>574</v>
      </c>
    </row>
    <row r="154" spans="1:21" ht="20.25">
      <c r="A154" s="390" t="s">
        <v>535</v>
      </c>
      <c r="B154" s="390"/>
      <c r="C154" s="390"/>
      <c r="D154" s="390"/>
      <c r="E154" s="390"/>
      <c r="F154" s="390"/>
      <c r="G154" s="390"/>
      <c r="H154" s="390"/>
      <c r="I154" s="390"/>
      <c r="J154" s="390"/>
      <c r="K154" s="390"/>
      <c r="L154" s="535" t="s">
        <v>557</v>
      </c>
      <c r="M154" s="535"/>
      <c r="N154" s="535">
        <f>I50</f>
        <v>24</v>
      </c>
      <c r="O154" s="535"/>
    </row>
    <row r="155" spans="1:21" ht="18.75">
      <c r="A155" s="390" t="s">
        <v>536</v>
      </c>
      <c r="B155" s="390"/>
      <c r="C155" s="390"/>
      <c r="D155" s="390"/>
      <c r="E155" s="390"/>
      <c r="F155" s="390"/>
      <c r="G155" s="390"/>
      <c r="H155" s="390"/>
      <c r="I155" s="390"/>
      <c r="J155" s="390"/>
      <c r="K155" s="390"/>
      <c r="L155" s="535" t="s">
        <v>558</v>
      </c>
      <c r="M155" s="535"/>
      <c r="N155" s="535">
        <f>H104</f>
        <v>30</v>
      </c>
      <c r="O155" s="535"/>
      <c r="P155" s="535" t="s">
        <v>29</v>
      </c>
      <c r="Q155" s="535"/>
      <c r="S155" s="75">
        <f>N155/25.4</f>
        <v>1.1811023622047245</v>
      </c>
      <c r="U155" s="74" t="s">
        <v>574</v>
      </c>
    </row>
    <row r="156" spans="1:21" ht="20.25">
      <c r="A156" s="390" t="s">
        <v>537</v>
      </c>
      <c r="B156" s="390"/>
      <c r="C156" s="390"/>
      <c r="D156" s="390"/>
      <c r="E156" s="390"/>
      <c r="F156" s="390"/>
      <c r="G156" s="390"/>
      <c r="H156" s="390"/>
      <c r="I156" s="390"/>
      <c r="J156" s="390"/>
      <c r="K156" s="390"/>
      <c r="L156" s="535" t="s">
        <v>559</v>
      </c>
      <c r="M156" s="535"/>
      <c r="N156" s="535">
        <f>N155+4</f>
        <v>34</v>
      </c>
      <c r="O156" s="535"/>
      <c r="P156" s="535" t="s">
        <v>29</v>
      </c>
      <c r="Q156" s="535"/>
      <c r="S156" s="75">
        <f t="shared" ref="S156:S167" si="2">N156/25.4</f>
        <v>1.3385826771653544</v>
      </c>
      <c r="U156" s="74" t="s">
        <v>574</v>
      </c>
    </row>
    <row r="157" spans="1:21" ht="18.75">
      <c r="A157" s="390" t="s">
        <v>538</v>
      </c>
      <c r="B157" s="390"/>
      <c r="C157" s="390"/>
      <c r="D157" s="390"/>
      <c r="E157" s="390"/>
      <c r="F157" s="390"/>
      <c r="G157" s="390"/>
      <c r="H157" s="390"/>
      <c r="I157" s="390"/>
      <c r="J157" s="390"/>
      <c r="K157" s="390"/>
      <c r="L157" s="578" t="s">
        <v>560</v>
      </c>
      <c r="M157" s="578"/>
      <c r="N157" s="535">
        <f>(N151/2)-((N149*1000/2)+N152+N153)</f>
        <v>97</v>
      </c>
      <c r="O157" s="535"/>
      <c r="P157" s="535" t="s">
        <v>29</v>
      </c>
      <c r="Q157" s="535"/>
      <c r="S157" s="75">
        <f t="shared" si="2"/>
        <v>3.8188976377952759</v>
      </c>
      <c r="U157" s="74" t="s">
        <v>574</v>
      </c>
    </row>
    <row r="158" spans="1:21" ht="29.25" customHeight="1">
      <c r="A158" s="390" t="s">
        <v>539</v>
      </c>
      <c r="B158" s="390"/>
      <c r="C158" s="390"/>
      <c r="D158" s="390"/>
      <c r="E158" s="390"/>
      <c r="F158" s="390"/>
      <c r="G158" s="390"/>
      <c r="H158" s="390"/>
      <c r="I158" s="390"/>
      <c r="J158" s="390"/>
      <c r="K158" s="390"/>
      <c r="L158" s="535" t="s">
        <v>561</v>
      </c>
      <c r="M158" s="535"/>
      <c r="N158" s="535">
        <v>90</v>
      </c>
      <c r="O158" s="535"/>
      <c r="P158" s="535" t="s">
        <v>29</v>
      </c>
      <c r="Q158" s="535"/>
      <c r="S158" s="75">
        <f t="shared" si="2"/>
        <v>3.5433070866141736</v>
      </c>
      <c r="U158" s="74" t="s">
        <v>574</v>
      </c>
    </row>
    <row r="159" spans="1:21" ht="18.75">
      <c r="A159" s="390" t="s">
        <v>540</v>
      </c>
      <c r="B159" s="390"/>
      <c r="C159" s="390"/>
      <c r="D159" s="390"/>
      <c r="E159" s="390"/>
      <c r="F159" s="390"/>
      <c r="G159" s="390"/>
      <c r="H159" s="390"/>
      <c r="I159" s="390"/>
      <c r="J159" s="390"/>
      <c r="K159" s="390"/>
      <c r="L159" s="535" t="s">
        <v>562</v>
      </c>
      <c r="M159" s="535"/>
      <c r="N159" s="535">
        <f>N158-N156/2</f>
        <v>73</v>
      </c>
      <c r="O159" s="535"/>
      <c r="P159" s="535" t="s">
        <v>29</v>
      </c>
      <c r="Q159" s="535"/>
      <c r="S159" s="75">
        <f t="shared" si="2"/>
        <v>2.8740157480314963</v>
      </c>
      <c r="U159" s="74" t="s">
        <v>574</v>
      </c>
    </row>
    <row r="160" spans="1:21" ht="18.75">
      <c r="A160" s="390" t="s">
        <v>541</v>
      </c>
      <c r="B160" s="390"/>
      <c r="C160" s="390"/>
      <c r="D160" s="390"/>
      <c r="E160" s="390"/>
      <c r="F160" s="390"/>
      <c r="G160" s="390"/>
      <c r="H160" s="390"/>
      <c r="I160" s="390"/>
      <c r="J160" s="390"/>
      <c r="K160" s="390"/>
      <c r="L160" s="535" t="s">
        <v>563</v>
      </c>
      <c r="M160" s="535"/>
      <c r="N160" s="535">
        <f>N158+N157</f>
        <v>187</v>
      </c>
      <c r="O160" s="535"/>
      <c r="P160" s="535" t="s">
        <v>29</v>
      </c>
      <c r="Q160" s="535"/>
      <c r="S160" s="75">
        <f t="shared" si="2"/>
        <v>7.3622047244094491</v>
      </c>
      <c r="U160" s="74" t="s">
        <v>574</v>
      </c>
    </row>
    <row r="161" spans="1:22" ht="18.75">
      <c r="A161" s="390" t="s">
        <v>542</v>
      </c>
      <c r="B161" s="390"/>
      <c r="C161" s="390"/>
      <c r="D161" s="390"/>
      <c r="E161" s="390"/>
      <c r="F161" s="390"/>
      <c r="G161" s="390"/>
      <c r="H161" s="390"/>
      <c r="I161" s="390"/>
      <c r="J161" s="390"/>
      <c r="K161" s="390"/>
      <c r="L161" s="535" t="s">
        <v>564</v>
      </c>
      <c r="M161" s="535"/>
      <c r="N161" s="535">
        <f>N150-(110+2*N163)</f>
        <v>190</v>
      </c>
      <c r="O161" s="535"/>
      <c r="P161" s="535" t="s">
        <v>29</v>
      </c>
      <c r="Q161" s="535"/>
      <c r="S161" s="75">
        <f t="shared" si="2"/>
        <v>7.4803149606299213</v>
      </c>
      <c r="U161" s="74" t="s">
        <v>574</v>
      </c>
    </row>
    <row r="162" spans="1:22" ht="18.75">
      <c r="A162" s="390" t="s">
        <v>543</v>
      </c>
      <c r="B162" s="390"/>
      <c r="C162" s="390"/>
      <c r="D162" s="390"/>
      <c r="E162" s="390"/>
      <c r="F162" s="390"/>
      <c r="G162" s="390"/>
      <c r="H162" s="390"/>
      <c r="I162" s="390"/>
      <c r="J162" s="390"/>
      <c r="K162" s="390"/>
      <c r="L162" s="578" t="s">
        <v>565</v>
      </c>
      <c r="M162" s="578"/>
      <c r="N162" s="535">
        <v>400</v>
      </c>
      <c r="O162" s="535"/>
      <c r="P162" s="535" t="s">
        <v>29</v>
      </c>
      <c r="Q162" s="535"/>
      <c r="S162" s="75">
        <f t="shared" si="2"/>
        <v>15.748031496062993</v>
      </c>
      <c r="U162" s="74" t="s">
        <v>574</v>
      </c>
    </row>
    <row r="163" spans="1:22" ht="18.75">
      <c r="A163" s="390" t="s">
        <v>544</v>
      </c>
      <c r="B163" s="390"/>
      <c r="C163" s="390"/>
      <c r="D163" s="390"/>
      <c r="E163" s="390"/>
      <c r="F163" s="390"/>
      <c r="G163" s="390"/>
      <c r="H163" s="390"/>
      <c r="I163" s="390"/>
      <c r="J163" s="390"/>
      <c r="K163" s="390"/>
      <c r="L163" s="535" t="s">
        <v>566</v>
      </c>
      <c r="M163" s="535"/>
      <c r="N163" s="535">
        <v>15</v>
      </c>
      <c r="O163" s="535"/>
      <c r="P163" s="535" t="s">
        <v>29</v>
      </c>
      <c r="Q163" s="535"/>
      <c r="S163" s="75">
        <f t="shared" si="2"/>
        <v>0.59055118110236227</v>
      </c>
      <c r="U163" s="74" t="s">
        <v>574</v>
      </c>
    </row>
    <row r="164" spans="1:22" ht="18.75">
      <c r="A164" s="390" t="s">
        <v>545</v>
      </c>
      <c r="B164" s="390"/>
      <c r="C164" s="390"/>
      <c r="D164" s="390"/>
      <c r="E164" s="390"/>
      <c r="F164" s="390"/>
      <c r="G164" s="390"/>
      <c r="H164" s="390"/>
      <c r="I164" s="390"/>
      <c r="J164" s="390"/>
      <c r="K164" s="390"/>
      <c r="L164" s="579" t="s">
        <v>567</v>
      </c>
      <c r="M164" s="579"/>
      <c r="N164" s="535">
        <v>33</v>
      </c>
      <c r="O164" s="535"/>
      <c r="P164" s="535" t="s">
        <v>29</v>
      </c>
      <c r="Q164" s="535"/>
      <c r="S164" s="75">
        <f t="shared" si="2"/>
        <v>1.299212598425197</v>
      </c>
      <c r="U164" s="74" t="s">
        <v>574</v>
      </c>
    </row>
    <row r="165" spans="1:22" ht="18.75">
      <c r="A165" s="390" t="s">
        <v>546</v>
      </c>
      <c r="B165" s="390"/>
      <c r="C165" s="390"/>
      <c r="D165" s="390"/>
      <c r="E165" s="390"/>
      <c r="F165" s="390"/>
      <c r="G165" s="390"/>
      <c r="H165" s="390"/>
      <c r="I165" s="390"/>
      <c r="J165" s="390"/>
      <c r="K165" s="390"/>
      <c r="L165" s="535" t="s">
        <v>568</v>
      </c>
      <c r="M165" s="535"/>
      <c r="N165" s="535">
        <v>96.4</v>
      </c>
      <c r="O165" s="535"/>
      <c r="P165" s="535" t="s">
        <v>29</v>
      </c>
      <c r="Q165" s="535"/>
      <c r="S165" s="75">
        <f t="shared" si="2"/>
        <v>3.7952755905511815</v>
      </c>
      <c r="U165" s="74" t="s">
        <v>574</v>
      </c>
    </row>
    <row r="166" spans="1:22" ht="18.75">
      <c r="A166" s="390" t="s">
        <v>547</v>
      </c>
      <c r="B166" s="390"/>
      <c r="C166" s="390"/>
      <c r="D166" s="390"/>
      <c r="E166" s="390"/>
      <c r="F166" s="390"/>
      <c r="G166" s="390"/>
      <c r="H166" s="390"/>
      <c r="I166" s="390"/>
      <c r="J166" s="390"/>
      <c r="K166" s="390"/>
      <c r="L166" s="535" t="s">
        <v>569</v>
      </c>
      <c r="M166" s="535"/>
      <c r="N166" s="535">
        <f>'Bottom &amp; Annular plate design'!F15-COVER!H168</f>
        <v>6.4</v>
      </c>
      <c r="O166" s="535"/>
      <c r="P166" s="535" t="s">
        <v>29</v>
      </c>
      <c r="Q166" s="535"/>
      <c r="S166" s="75">
        <f t="shared" si="2"/>
        <v>0.25196850393700793</v>
      </c>
      <c r="U166" s="74" t="s">
        <v>574</v>
      </c>
    </row>
    <row r="167" spans="1:22" ht="18.75">
      <c r="A167" s="390" t="s">
        <v>548</v>
      </c>
      <c r="B167" s="390"/>
      <c r="C167" s="390"/>
      <c r="D167" s="390"/>
      <c r="E167" s="390"/>
      <c r="F167" s="390"/>
      <c r="G167" s="390"/>
      <c r="H167" s="390"/>
      <c r="I167" s="390"/>
      <c r="J167" s="390"/>
      <c r="K167" s="390"/>
      <c r="L167" s="578" t="s">
        <v>570</v>
      </c>
      <c r="M167" s="578"/>
      <c r="N167" s="535">
        <f>N149/2*1000</f>
        <v>6500</v>
      </c>
      <c r="O167" s="535"/>
      <c r="P167" s="535" t="s">
        <v>29</v>
      </c>
      <c r="Q167" s="535"/>
      <c r="S167" s="75">
        <f t="shared" si="2"/>
        <v>255.90551181102364</v>
      </c>
      <c r="U167" s="74" t="s">
        <v>574</v>
      </c>
    </row>
    <row r="168" spans="1:22" ht="20.25">
      <c r="A168" s="390" t="s">
        <v>549</v>
      </c>
      <c r="B168" s="390"/>
      <c r="C168" s="390"/>
      <c r="D168" s="390"/>
      <c r="E168" s="390"/>
      <c r="F168" s="390"/>
      <c r="G168" s="390"/>
      <c r="H168" s="390"/>
      <c r="I168" s="390"/>
      <c r="J168" s="390"/>
      <c r="K168" s="390"/>
      <c r="L168" s="535" t="s">
        <v>571</v>
      </c>
      <c r="M168" s="535"/>
      <c r="N168" s="535">
        <v>260</v>
      </c>
      <c r="O168" s="535"/>
      <c r="P168" s="535" t="s">
        <v>68</v>
      </c>
      <c r="Q168" s="535"/>
      <c r="S168" s="75">
        <f>N168*0.146342</f>
        <v>38.048920000000003</v>
      </c>
      <c r="U168" s="74" t="s">
        <v>575</v>
      </c>
    </row>
    <row r="169" spans="1:22" ht="18.75">
      <c r="A169" s="390" t="s">
        <v>550</v>
      </c>
      <c r="B169" s="390"/>
      <c r="C169" s="390"/>
      <c r="D169" s="390"/>
      <c r="E169" s="390"/>
      <c r="F169" s="390"/>
      <c r="G169" s="390"/>
      <c r="H169" s="390"/>
      <c r="I169" s="390"/>
      <c r="J169" s="390"/>
      <c r="K169" s="390"/>
      <c r="L169" s="578" t="s">
        <v>572</v>
      </c>
      <c r="M169" s="578"/>
      <c r="N169" s="535">
        <f>(N152+N153)-(COVER!$H$166)</f>
        <v>26.4</v>
      </c>
      <c r="O169" s="535"/>
      <c r="P169" s="535" t="s">
        <v>29</v>
      </c>
      <c r="Q169" s="535"/>
      <c r="S169" s="75">
        <f>N169/25.4</f>
        <v>1.0393700787401574</v>
      </c>
      <c r="U169" s="74" t="s">
        <v>574</v>
      </c>
    </row>
    <row r="170" spans="1:22" ht="20.25">
      <c r="A170" s="390" t="s">
        <v>551</v>
      </c>
      <c r="B170" s="390"/>
      <c r="C170" s="390"/>
      <c r="D170" s="390"/>
      <c r="E170" s="390"/>
      <c r="F170" s="390"/>
      <c r="G170" s="390"/>
      <c r="H170" s="390"/>
      <c r="I170" s="390"/>
      <c r="J170" s="390"/>
      <c r="K170" s="390"/>
      <c r="L170" s="535" t="s">
        <v>573</v>
      </c>
      <c r="M170" s="535"/>
      <c r="N170" s="535">
        <f>'Seismic design2007'!D280</f>
        <v>6929589.8409908693</v>
      </c>
      <c r="O170" s="535"/>
      <c r="P170" s="535" t="s">
        <v>442</v>
      </c>
      <c r="Q170" s="535"/>
    </row>
    <row r="172" spans="1:22" ht="15" thickBot="1"/>
    <row r="173" spans="1:22" ht="14.45" customHeight="1">
      <c r="A173" s="229"/>
      <c r="B173" s="230"/>
      <c r="C173" s="230"/>
      <c r="D173" s="230"/>
      <c r="E173" s="231"/>
      <c r="F173" s="158" t="str">
        <f>F118</f>
        <v>نگهداشت و افزایش تولید میدان نفتی بینک
سطح الارض و ابنیه تحت الارض 
خرید مخازن ذخیره گاز ایستگاه تقویت فشار گاز بینک 
(قرارداد BK-HD-GCS-CO-0026_00 )</v>
      </c>
      <c r="G173" s="159"/>
      <c r="H173" s="159"/>
      <c r="I173" s="159"/>
      <c r="J173" s="159"/>
      <c r="K173" s="159"/>
      <c r="L173" s="159"/>
      <c r="M173" s="159"/>
      <c r="N173" s="159"/>
      <c r="O173" s="159"/>
      <c r="P173" s="159"/>
      <c r="Q173" s="160"/>
      <c r="R173" s="238"/>
      <c r="S173" s="238"/>
      <c r="T173" s="238"/>
      <c r="U173" s="238"/>
      <c r="V173" s="239"/>
    </row>
    <row r="174" spans="1:22">
      <c r="A174" s="232"/>
      <c r="B174" s="233"/>
      <c r="C174" s="233"/>
      <c r="D174" s="233"/>
      <c r="E174" s="234"/>
      <c r="F174" s="161"/>
      <c r="G174" s="162"/>
      <c r="H174" s="162"/>
      <c r="I174" s="162"/>
      <c r="J174" s="162"/>
      <c r="K174" s="162"/>
      <c r="L174" s="162"/>
      <c r="M174" s="162"/>
      <c r="N174" s="162"/>
      <c r="O174" s="162"/>
      <c r="P174" s="162"/>
      <c r="Q174" s="163"/>
      <c r="R174" s="177"/>
      <c r="S174" s="177"/>
      <c r="T174" s="177"/>
      <c r="U174" s="177"/>
      <c r="V174" s="240"/>
    </row>
    <row r="175" spans="1:22">
      <c r="A175" s="232"/>
      <c r="B175" s="233"/>
      <c r="C175" s="233"/>
      <c r="D175" s="233"/>
      <c r="E175" s="234"/>
      <c r="F175" s="161"/>
      <c r="G175" s="162"/>
      <c r="H175" s="162"/>
      <c r="I175" s="162"/>
      <c r="J175" s="162"/>
      <c r="K175" s="162"/>
      <c r="L175" s="162"/>
      <c r="M175" s="162"/>
      <c r="N175" s="162"/>
      <c r="O175" s="162"/>
      <c r="P175" s="162"/>
      <c r="Q175" s="163"/>
      <c r="R175" s="177"/>
      <c r="S175" s="177"/>
      <c r="T175" s="177"/>
      <c r="U175" s="177"/>
      <c r="V175" s="240"/>
    </row>
    <row r="176" spans="1:22">
      <c r="A176" s="232"/>
      <c r="B176" s="233"/>
      <c r="C176" s="233"/>
      <c r="D176" s="233"/>
      <c r="E176" s="234"/>
      <c r="F176" s="161"/>
      <c r="G176" s="162"/>
      <c r="H176" s="162"/>
      <c r="I176" s="162"/>
      <c r="J176" s="162"/>
      <c r="K176" s="162"/>
      <c r="L176" s="162"/>
      <c r="M176" s="162"/>
      <c r="N176" s="162"/>
      <c r="O176" s="162"/>
      <c r="P176" s="162"/>
      <c r="Q176" s="163"/>
      <c r="R176" s="177"/>
      <c r="S176" s="177"/>
      <c r="T176" s="177"/>
      <c r="U176" s="177"/>
      <c r="V176" s="240"/>
    </row>
    <row r="177" spans="1:22">
      <c r="A177" s="232"/>
      <c r="B177" s="233"/>
      <c r="C177" s="233"/>
      <c r="D177" s="233"/>
      <c r="E177" s="234"/>
      <c r="F177" s="164"/>
      <c r="G177" s="165"/>
      <c r="H177" s="165"/>
      <c r="I177" s="165"/>
      <c r="J177" s="165"/>
      <c r="K177" s="165"/>
      <c r="L177" s="165"/>
      <c r="M177" s="165"/>
      <c r="N177" s="165"/>
      <c r="O177" s="165"/>
      <c r="P177" s="165"/>
      <c r="Q177" s="166"/>
      <c r="R177" s="177"/>
      <c r="S177" s="177"/>
      <c r="T177" s="177"/>
      <c r="U177" s="177"/>
      <c r="V177" s="240"/>
    </row>
    <row r="178" spans="1:22" ht="22.9" customHeight="1">
      <c r="A178" s="235"/>
      <c r="B178" s="236"/>
      <c r="C178" s="236"/>
      <c r="D178" s="236"/>
      <c r="E178" s="237"/>
      <c r="F178" s="265" t="str">
        <f>F123</f>
        <v>Mechanical Calculation Book For Fire Water Tanks (TK-2301A/B)</v>
      </c>
      <c r="G178" s="266"/>
      <c r="H178" s="266"/>
      <c r="I178" s="266"/>
      <c r="J178" s="266"/>
      <c r="K178" s="266"/>
      <c r="L178" s="266"/>
      <c r="M178" s="266"/>
      <c r="N178" s="266"/>
      <c r="O178" s="266"/>
      <c r="P178" s="266"/>
      <c r="Q178" s="267"/>
      <c r="R178" s="177"/>
      <c r="S178" s="177"/>
      <c r="T178" s="177"/>
      <c r="U178" s="177"/>
      <c r="V178" s="240"/>
    </row>
    <row r="179" spans="1:22" ht="19.149999999999999" customHeight="1">
      <c r="A179" s="167" t="s">
        <v>743</v>
      </c>
      <c r="B179" s="168"/>
      <c r="C179" s="168"/>
      <c r="D179" s="168"/>
      <c r="E179" s="169"/>
      <c r="F179" s="125" t="s">
        <v>744</v>
      </c>
      <c r="G179" s="170" t="s">
        <v>745</v>
      </c>
      <c r="H179" s="171"/>
      <c r="I179" s="170" t="s">
        <v>746</v>
      </c>
      <c r="J179" s="171"/>
      <c r="K179" s="170" t="s">
        <v>747</v>
      </c>
      <c r="L179" s="171"/>
      <c r="M179" s="125" t="s">
        <v>748</v>
      </c>
      <c r="N179" s="170" t="s">
        <v>749</v>
      </c>
      <c r="O179" s="171"/>
      <c r="P179" s="125" t="s">
        <v>750</v>
      </c>
      <c r="Q179" s="126" t="s">
        <v>751</v>
      </c>
      <c r="R179" s="172">
        <f>R124</f>
        <v>29</v>
      </c>
      <c r="S179" s="174" t="s">
        <v>752</v>
      </c>
      <c r="T179" s="263">
        <f>T124+1</f>
        <v>28</v>
      </c>
      <c r="U179" s="168" t="s">
        <v>753</v>
      </c>
      <c r="V179" s="188"/>
    </row>
    <row r="180" spans="1:22" ht="18.600000000000001" customHeight="1" thickBot="1">
      <c r="A180" s="191" t="s">
        <v>754</v>
      </c>
      <c r="B180" s="175"/>
      <c r="C180" s="175"/>
      <c r="D180" s="175"/>
      <c r="E180" s="192"/>
      <c r="F180" s="132" t="s">
        <v>755</v>
      </c>
      <c r="G180" s="193" t="s">
        <v>756</v>
      </c>
      <c r="H180" s="193"/>
      <c r="I180" s="193" t="s">
        <v>878</v>
      </c>
      <c r="J180" s="193"/>
      <c r="K180" s="193">
        <v>120</v>
      </c>
      <c r="L180" s="193"/>
      <c r="M180" s="132" t="s">
        <v>757</v>
      </c>
      <c r="N180" s="193" t="s">
        <v>879</v>
      </c>
      <c r="O180" s="193"/>
      <c r="P180" s="142" t="s">
        <v>881</v>
      </c>
      <c r="Q180" s="133" t="str">
        <f>Q125</f>
        <v>V01</v>
      </c>
      <c r="R180" s="173"/>
      <c r="S180" s="175"/>
      <c r="T180" s="264"/>
      <c r="U180" s="189"/>
      <c r="V180" s="190"/>
    </row>
    <row r="182" spans="1:22" ht="33" customHeight="1">
      <c r="A182" s="390" t="s">
        <v>577</v>
      </c>
      <c r="B182" s="390"/>
      <c r="C182" s="390"/>
      <c r="D182" s="390"/>
      <c r="E182" s="390"/>
      <c r="F182" s="390"/>
      <c r="G182" s="390"/>
      <c r="H182" s="390"/>
      <c r="I182" s="390"/>
      <c r="J182" s="390"/>
      <c r="K182" s="390"/>
      <c r="M182" s="535" t="s">
        <v>738</v>
      </c>
      <c r="N182" s="535"/>
      <c r="O182" s="575">
        <f>MAX(I66:K73)</f>
        <v>73199.719950417479</v>
      </c>
      <c r="P182" s="575"/>
      <c r="Q182" s="535" t="s">
        <v>590</v>
      </c>
      <c r="R182" s="535"/>
    </row>
    <row r="183" spans="1:22" ht="20.25">
      <c r="A183" s="390" t="s">
        <v>578</v>
      </c>
      <c r="B183" s="390"/>
      <c r="C183" s="390"/>
      <c r="D183" s="390"/>
      <c r="E183" s="390"/>
      <c r="F183" s="390"/>
      <c r="G183" s="390"/>
      <c r="H183" s="390"/>
      <c r="I183" s="390"/>
      <c r="J183" s="390"/>
      <c r="K183" s="390"/>
      <c r="M183" s="535" t="s">
        <v>739</v>
      </c>
      <c r="N183" s="535"/>
      <c r="O183" s="575">
        <f>O182*PI()*N149/N154</f>
        <v>124563.67215557513</v>
      </c>
      <c r="P183" s="575"/>
      <c r="Q183" s="535" t="s">
        <v>214</v>
      </c>
      <c r="R183" s="535"/>
      <c r="S183" s="574">
        <f>0.0002248*O183</f>
        <v>28.001913500573288</v>
      </c>
      <c r="T183" s="574"/>
      <c r="U183" s="535" t="s">
        <v>592</v>
      </c>
      <c r="V183" s="535"/>
    </row>
    <row r="184" spans="1:22" ht="18.75">
      <c r="A184" s="390" t="s">
        <v>579</v>
      </c>
      <c r="B184" s="390"/>
      <c r="C184" s="390"/>
      <c r="D184" s="390"/>
      <c r="E184" s="390"/>
      <c r="F184" s="390"/>
      <c r="G184" s="390"/>
      <c r="H184" s="390"/>
      <c r="I184" s="390"/>
      <c r="J184" s="390"/>
      <c r="K184" s="390"/>
      <c r="M184" s="535" t="s">
        <v>357</v>
      </c>
      <c r="N184" s="535"/>
      <c r="O184" s="535">
        <f>R98</f>
        <v>248</v>
      </c>
      <c r="P184" s="535"/>
      <c r="Q184" s="535" t="s">
        <v>68</v>
      </c>
      <c r="R184" s="535"/>
      <c r="S184" s="574">
        <f>O184*0.146342</f>
        <v>36.292816000000002</v>
      </c>
      <c r="T184" s="574"/>
      <c r="U184" s="535" t="s">
        <v>575</v>
      </c>
      <c r="V184" s="535"/>
    </row>
    <row r="185" spans="1:22" ht="18.75">
      <c r="A185" s="390" t="s">
        <v>580</v>
      </c>
      <c r="B185" s="390"/>
      <c r="C185" s="390"/>
      <c r="D185" s="390"/>
      <c r="E185" s="390"/>
      <c r="F185" s="390"/>
      <c r="G185" s="390"/>
      <c r="H185" s="390"/>
      <c r="I185" s="390"/>
      <c r="J185" s="390"/>
      <c r="K185" s="390"/>
      <c r="M185" s="535"/>
      <c r="N185" s="535"/>
      <c r="O185" s="353"/>
      <c r="P185" s="353"/>
      <c r="Q185" s="353"/>
      <c r="R185" s="353"/>
    </row>
    <row r="186" spans="1:22" ht="20.25">
      <c r="A186" s="390" t="s">
        <v>581</v>
      </c>
      <c r="B186" s="390"/>
      <c r="C186" s="390"/>
      <c r="D186" s="390"/>
      <c r="E186" s="390"/>
      <c r="F186" s="390"/>
      <c r="G186" s="390"/>
      <c r="H186" s="390"/>
      <c r="I186" s="390"/>
      <c r="J186" s="390"/>
      <c r="K186" s="390"/>
      <c r="M186" s="535" t="s">
        <v>585</v>
      </c>
      <c r="N186" s="535"/>
      <c r="O186" s="535">
        <f>3*O183</f>
        <v>373691.01646672538</v>
      </c>
      <c r="P186" s="535"/>
      <c r="Q186" s="535" t="s">
        <v>68</v>
      </c>
      <c r="R186" s="535"/>
      <c r="S186" s="574">
        <f>0.0002248*O186</f>
        <v>84.005740501719856</v>
      </c>
      <c r="T186" s="574"/>
      <c r="U186" s="535" t="s">
        <v>592</v>
      </c>
      <c r="V186" s="535"/>
    </row>
    <row r="187" spans="1:22">
      <c r="O187" s="353"/>
      <c r="P187" s="353"/>
    </row>
    <row r="188" spans="1:22" ht="22.5">
      <c r="A188" s="390" t="s">
        <v>582</v>
      </c>
      <c r="B188" s="390"/>
      <c r="C188" s="390"/>
      <c r="D188" s="390"/>
      <c r="E188" s="390"/>
      <c r="F188" s="390"/>
      <c r="G188" s="390"/>
      <c r="H188" s="390"/>
      <c r="I188" s="390"/>
      <c r="J188" s="390"/>
      <c r="K188" s="390"/>
      <c r="M188" s="535" t="s">
        <v>586</v>
      </c>
      <c r="N188" s="535"/>
      <c r="O188" s="535">
        <f>J104</f>
        <v>503</v>
      </c>
      <c r="P188" s="535"/>
      <c r="Q188" s="535" t="s">
        <v>591</v>
      </c>
      <c r="R188" s="535"/>
      <c r="S188" s="574">
        <f>O188/25.4^2</f>
        <v>0.77965155930311869</v>
      </c>
      <c r="T188" s="574"/>
      <c r="U188" s="535" t="s">
        <v>593</v>
      </c>
      <c r="V188" s="535"/>
    </row>
    <row r="189" spans="1:22" ht="20.25">
      <c r="A189" s="390" t="s">
        <v>583</v>
      </c>
      <c r="B189" s="390"/>
      <c r="C189" s="390"/>
      <c r="D189" s="390"/>
      <c r="E189" s="390"/>
      <c r="F189" s="390"/>
      <c r="G189" s="390"/>
      <c r="H189" s="390"/>
      <c r="I189" s="390"/>
      <c r="J189" s="390"/>
      <c r="K189" s="390"/>
      <c r="M189" s="535" t="s">
        <v>587</v>
      </c>
      <c r="N189" s="535"/>
      <c r="O189" s="574">
        <f>0.6*O184</f>
        <v>148.79999999999998</v>
      </c>
      <c r="P189" s="574"/>
      <c r="Q189" s="535" t="s">
        <v>68</v>
      </c>
      <c r="R189" s="535"/>
      <c r="S189" s="574">
        <f>O189*0.145</f>
        <v>21.575999999999997</v>
      </c>
      <c r="T189" s="574"/>
      <c r="U189" s="535" t="s">
        <v>575</v>
      </c>
      <c r="V189" s="535"/>
    </row>
    <row r="190" spans="1:22" ht="20.25">
      <c r="A190" s="390" t="s">
        <v>584</v>
      </c>
      <c r="B190" s="390"/>
      <c r="C190" s="390"/>
      <c r="D190" s="390"/>
      <c r="E190" s="390"/>
      <c r="F190" s="390"/>
      <c r="G190" s="390"/>
      <c r="H190" s="390"/>
      <c r="I190" s="390"/>
      <c r="J190" s="390"/>
      <c r="K190" s="390"/>
      <c r="M190" s="535" t="s">
        <v>588</v>
      </c>
      <c r="N190" s="535"/>
      <c r="O190" s="574">
        <f>0.6*N168</f>
        <v>156</v>
      </c>
      <c r="P190" s="574"/>
      <c r="Q190" s="535" t="s">
        <v>68</v>
      </c>
      <c r="R190" s="535"/>
      <c r="S190" s="574">
        <f>0.145*O190</f>
        <v>22.619999999999997</v>
      </c>
      <c r="T190" s="574"/>
      <c r="U190" s="535" t="s">
        <v>575</v>
      </c>
      <c r="V190" s="535"/>
    </row>
    <row r="191" spans="1:22" ht="18.75">
      <c r="M191" s="535" t="s">
        <v>589</v>
      </c>
      <c r="N191" s="535"/>
      <c r="O191" s="574">
        <f>O184*O188</f>
        <v>124744</v>
      </c>
      <c r="P191" s="574"/>
      <c r="Q191" s="535" t="s">
        <v>214</v>
      </c>
      <c r="R191" s="535"/>
      <c r="S191" s="574">
        <f>S184*S188</f>
        <v>28.295750585901175</v>
      </c>
      <c r="T191" s="574"/>
      <c r="U191" s="535" t="s">
        <v>592</v>
      </c>
      <c r="V191" s="535"/>
    </row>
    <row r="192" spans="1:22">
      <c r="O192" s="353"/>
      <c r="P192" s="353"/>
    </row>
    <row r="193" spans="1:22" ht="18.75">
      <c r="A193" s="390" t="s">
        <v>603</v>
      </c>
      <c r="B193" s="390"/>
      <c r="C193" s="390"/>
      <c r="D193" s="390"/>
      <c r="E193" s="390"/>
      <c r="F193" s="390"/>
      <c r="G193" s="390"/>
      <c r="H193" s="390"/>
      <c r="I193" s="390"/>
      <c r="J193" s="390"/>
      <c r="K193" s="390"/>
      <c r="M193" s="535" t="s">
        <v>602</v>
      </c>
      <c r="N193" s="535"/>
      <c r="O193" s="574">
        <f>MIN(O186,O191)</f>
        <v>124744</v>
      </c>
      <c r="P193" s="574"/>
      <c r="Q193" s="535" t="s">
        <v>214</v>
      </c>
      <c r="R193" s="535"/>
      <c r="S193" s="574">
        <f>MIN(S186,S191)</f>
        <v>28.295750585901175</v>
      </c>
      <c r="T193" s="574"/>
      <c r="U193" s="535" t="s">
        <v>592</v>
      </c>
      <c r="V193" s="535"/>
    </row>
    <row r="195" spans="1:22" ht="18.75">
      <c r="A195" s="390" t="s">
        <v>604</v>
      </c>
      <c r="B195" s="390"/>
      <c r="C195" s="390"/>
      <c r="D195" s="390"/>
      <c r="M195" s="535" t="s">
        <v>605</v>
      </c>
      <c r="N195" s="535"/>
      <c r="O195" s="574">
        <f>1/(0.177*N150*N166/SQRT(N169*N167)*(N166/N169)^2+1)</f>
        <v>0.949636265682678</v>
      </c>
      <c r="P195" s="574"/>
    </row>
    <row r="199" spans="1:22" ht="18.75">
      <c r="A199" s="390" t="s">
        <v>606</v>
      </c>
      <c r="B199" s="390"/>
      <c r="C199" s="390"/>
      <c r="D199" s="390"/>
      <c r="M199" s="535" t="s">
        <v>607</v>
      </c>
      <c r="N199" s="535"/>
      <c r="O199" s="574">
        <f>O193*N157/N169^2*(1.32*O195/(1.43*N150*N162^2/(N167*N169)+(4*N150*N162^2)^0.333)+0.031/SQRT(N167*N169))</f>
        <v>22.392749068847344</v>
      </c>
      <c r="P199" s="574"/>
      <c r="Q199" s="535" t="s">
        <v>575</v>
      </c>
      <c r="R199" s="535"/>
    </row>
    <row r="200" spans="1:22" ht="18.75">
      <c r="M200" s="535" t="s">
        <v>358</v>
      </c>
      <c r="N200" s="535"/>
      <c r="O200" s="574">
        <f>S190</f>
        <v>22.619999999999997</v>
      </c>
      <c r="P200" s="574"/>
      <c r="Q200" s="535" t="s">
        <v>575</v>
      </c>
      <c r="R200" s="535"/>
    </row>
    <row r="202" spans="1:22">
      <c r="F202" s="353" t="str">
        <f>IF((O199)&lt;O200,"So stress is smaller than Allowance desing for anchor chair","So stress is not smaller than Allowance desing for anchor chair")</f>
        <v>So stress is smaller than Allowance desing for anchor chair</v>
      </c>
      <c r="G202" s="353"/>
      <c r="H202" s="353"/>
      <c r="I202" s="353"/>
      <c r="J202" s="353"/>
      <c r="K202" s="353"/>
      <c r="L202" s="353"/>
      <c r="M202" s="353"/>
      <c r="N202" s="353"/>
      <c r="O202" s="353"/>
      <c r="P202" s="66" t="s">
        <v>522</v>
      </c>
      <c r="Q202" t="str">
        <f>IF((O199)&lt;O200,"Ok","Not Ok")</f>
        <v>Ok</v>
      </c>
    </row>
    <row r="206" spans="1:22" ht="15.75" customHeight="1">
      <c r="A206" s="390" t="s">
        <v>608</v>
      </c>
      <c r="B206" s="390"/>
      <c r="C206" s="390"/>
      <c r="D206" s="390"/>
      <c r="E206" s="390"/>
      <c r="F206" s="390"/>
      <c r="G206" s="390"/>
      <c r="H206" s="390"/>
      <c r="I206" s="390"/>
      <c r="J206" s="390"/>
      <c r="K206" s="390"/>
      <c r="L206" s="390"/>
      <c r="M206" s="390"/>
      <c r="N206" s="390"/>
      <c r="O206" s="390"/>
      <c r="P206" s="390"/>
      <c r="Q206" s="390"/>
      <c r="R206" s="390"/>
      <c r="S206" s="390"/>
      <c r="T206" s="390"/>
      <c r="U206" s="390"/>
    </row>
    <row r="207" spans="1:22" ht="15.75">
      <c r="A207" s="390" t="s">
        <v>609</v>
      </c>
      <c r="B207" s="390"/>
      <c r="C207" s="390"/>
      <c r="D207" s="390"/>
      <c r="E207" s="390"/>
      <c r="F207" s="390"/>
      <c r="G207" s="390"/>
      <c r="H207" s="390"/>
      <c r="I207" s="390"/>
      <c r="J207" s="390"/>
      <c r="K207" s="390"/>
      <c r="L207" s="390"/>
      <c r="M207" s="390"/>
      <c r="N207" s="390"/>
      <c r="O207" s="390"/>
      <c r="P207" s="390"/>
      <c r="Q207" s="390"/>
      <c r="R207" s="390"/>
      <c r="S207" s="390"/>
    </row>
    <row r="208" spans="1:22" ht="15.75">
      <c r="A208" s="76"/>
      <c r="B208" s="76"/>
      <c r="C208" s="76"/>
      <c r="D208" s="76"/>
      <c r="E208" s="76"/>
      <c r="F208" s="76"/>
      <c r="G208" s="76"/>
      <c r="H208" s="76"/>
      <c r="I208" s="76"/>
      <c r="J208" s="76"/>
      <c r="K208" s="76"/>
      <c r="L208" s="76"/>
      <c r="M208" s="76"/>
      <c r="N208" s="76"/>
      <c r="O208" s="76"/>
      <c r="P208" s="76"/>
      <c r="Q208" s="76"/>
      <c r="R208" s="76"/>
      <c r="S208" s="76"/>
    </row>
    <row r="209" spans="1:22" ht="15.75" customHeight="1">
      <c r="A209" s="390" t="s">
        <v>610</v>
      </c>
      <c r="B209" s="390"/>
      <c r="C209" s="390"/>
      <c r="D209" s="390"/>
      <c r="E209" s="390"/>
      <c r="F209" s="390"/>
      <c r="G209" s="390"/>
      <c r="H209" s="390"/>
      <c r="I209" s="76"/>
      <c r="J209" s="76"/>
      <c r="K209" s="76"/>
      <c r="L209" s="535" t="s">
        <v>565</v>
      </c>
      <c r="M209" s="535"/>
      <c r="N209" s="575">
        <f>N162</f>
        <v>400</v>
      </c>
      <c r="O209" s="575"/>
      <c r="P209" s="535" t="s">
        <v>29</v>
      </c>
      <c r="Q209" s="535"/>
      <c r="R209" s="77" t="s">
        <v>522</v>
      </c>
      <c r="S209" s="76" t="str">
        <f>IF((N209)&gt;304.8,"Ok","Not Ok")</f>
        <v>Ok</v>
      </c>
    </row>
    <row r="211" spans="1:22" ht="15.75">
      <c r="A211" s="390" t="s">
        <v>611</v>
      </c>
      <c r="B211" s="390"/>
      <c r="C211" s="390"/>
      <c r="D211" s="390"/>
      <c r="E211" s="390"/>
      <c r="F211" s="390"/>
      <c r="G211" s="390"/>
      <c r="H211" s="390"/>
    </row>
    <row r="212" spans="1:22" ht="18.75">
      <c r="A212" s="391" t="s">
        <v>612</v>
      </c>
      <c r="B212" s="391"/>
      <c r="C212" s="391"/>
      <c r="D212" s="391"/>
      <c r="E212" s="391"/>
      <c r="F212" s="391"/>
      <c r="G212" s="391"/>
      <c r="H212" s="391"/>
      <c r="I212" s="391"/>
      <c r="J212" s="391"/>
      <c r="K212" s="391"/>
      <c r="L212" s="535" t="s">
        <v>613</v>
      </c>
      <c r="M212" s="535"/>
      <c r="N212" s="574">
        <f>S212*25.4</f>
        <v>26.734425765483305</v>
      </c>
      <c r="O212" s="574"/>
      <c r="P212" s="535" t="s">
        <v>29</v>
      </c>
      <c r="Q212" s="535"/>
      <c r="S212" s="574">
        <f>SQRT(S193/(O200*S159)*(0.375*S161-0.22*S155))</f>
        <v>1.0525364474599728</v>
      </c>
      <c r="T212" s="574"/>
      <c r="V212" s="74" t="s">
        <v>574</v>
      </c>
    </row>
    <row r="214" spans="1:22" ht="18.75">
      <c r="L214" s="535" t="s">
        <v>613</v>
      </c>
      <c r="M214" s="535"/>
      <c r="N214" s="575">
        <v>25</v>
      </c>
      <c r="O214" s="575"/>
      <c r="P214" s="535" t="s">
        <v>29</v>
      </c>
      <c r="Q214" s="535"/>
      <c r="S214" s="574">
        <f>N214/25.4</f>
        <v>0.98425196850393704</v>
      </c>
      <c r="T214" s="574"/>
      <c r="V214" s="74" t="s">
        <v>574</v>
      </c>
    </row>
    <row r="215" spans="1:22" ht="15">
      <c r="A215" s="391" t="s">
        <v>614</v>
      </c>
      <c r="B215" s="391"/>
      <c r="C215" s="391"/>
      <c r="D215" s="391"/>
      <c r="E215" s="391"/>
      <c r="F215" s="391"/>
      <c r="G215" s="391"/>
      <c r="H215" s="391"/>
      <c r="I215" s="391"/>
      <c r="J215" s="391"/>
      <c r="K215" s="391"/>
    </row>
    <row r="217" spans="1:22" ht="18.75">
      <c r="A217" s="391" t="s">
        <v>615</v>
      </c>
      <c r="B217" s="391"/>
      <c r="C217" s="391"/>
      <c r="D217" s="391"/>
      <c r="E217" s="391"/>
      <c r="F217" s="391"/>
      <c r="G217" s="391"/>
      <c r="H217" s="391"/>
      <c r="I217" s="391"/>
      <c r="J217" s="391"/>
      <c r="K217" s="391"/>
      <c r="L217" s="535" t="s">
        <v>616</v>
      </c>
      <c r="M217" s="535"/>
      <c r="N217" s="574">
        <f>S217*25.4</f>
        <v>12.7</v>
      </c>
      <c r="O217" s="574"/>
      <c r="P217" s="535" t="str">
        <f>P214</f>
        <v>mm</v>
      </c>
      <c r="Q217" s="535"/>
      <c r="S217" s="574">
        <v>0.5</v>
      </c>
      <c r="T217" s="574"/>
      <c r="V217" s="74" t="str">
        <f>V212</f>
        <v>Inch</v>
      </c>
    </row>
    <row r="218" spans="1:22" ht="18.75">
      <c r="L218" s="535" t="s">
        <v>617</v>
      </c>
      <c r="M218" s="535"/>
      <c r="N218" s="574">
        <f>0.04*(N209-N214)</f>
        <v>15</v>
      </c>
      <c r="O218" s="574"/>
      <c r="P218" s="535" t="str">
        <f>P217</f>
        <v>mm</v>
      </c>
      <c r="Q218" s="535"/>
      <c r="S218" s="574">
        <f>N218/25.4</f>
        <v>0.59055118110236227</v>
      </c>
      <c r="T218" s="574"/>
      <c r="V218" s="74" t="str">
        <f>V217</f>
        <v>Inch</v>
      </c>
    </row>
    <row r="219" spans="1:22" ht="18.75">
      <c r="L219" s="535" t="s">
        <v>566</v>
      </c>
      <c r="M219" s="535"/>
      <c r="N219" s="574">
        <f>N214</f>
        <v>25</v>
      </c>
      <c r="O219" s="574"/>
      <c r="P219" s="535" t="str">
        <f>P218</f>
        <v>mm</v>
      </c>
      <c r="Q219" s="535"/>
      <c r="S219" s="574">
        <f>N219/25.4</f>
        <v>0.98425196850393704</v>
      </c>
      <c r="T219" s="574"/>
      <c r="V219" s="74" t="str">
        <f>V214</f>
        <v>Inch</v>
      </c>
    </row>
    <row r="220" spans="1:22">
      <c r="L220" s="353"/>
      <c r="M220" s="353"/>
    </row>
    <row r="221" spans="1:22" ht="15">
      <c r="I221" s="577" t="s">
        <v>618</v>
      </c>
      <c r="J221" s="577"/>
      <c r="K221" s="30" t="s">
        <v>619</v>
      </c>
      <c r="L221" s="30"/>
      <c r="N221" s="576" t="s">
        <v>522</v>
      </c>
      <c r="O221" s="353"/>
      <c r="P221" t="str">
        <f>IF((S219)&gt;((S193)/(25*S165)),"Ok","Not Ok")</f>
        <v>Ok</v>
      </c>
    </row>
    <row r="223" spans="1:22" ht="15">
      <c r="A223" s="391" t="s">
        <v>620</v>
      </c>
      <c r="B223" s="391"/>
      <c r="C223" s="391"/>
      <c r="D223" s="391"/>
      <c r="E223" s="391"/>
      <c r="F223" s="391"/>
    </row>
    <row r="225" spans="1:22" ht="18.75">
      <c r="A225" s="391" t="s">
        <v>621</v>
      </c>
      <c r="B225" s="391"/>
      <c r="C225" s="391"/>
      <c r="D225" s="391"/>
      <c r="E225" s="391"/>
      <c r="F225" s="391"/>
      <c r="L225" s="535" t="s">
        <v>622</v>
      </c>
      <c r="M225" s="535"/>
      <c r="N225" s="574">
        <f>O193*N157/(N150*N162+0.667*N162^2)</f>
        <v>50.687701072386062</v>
      </c>
      <c r="O225" s="574"/>
      <c r="P225" s="535" t="s">
        <v>623</v>
      </c>
      <c r="Q225" s="535"/>
      <c r="S225" s="574">
        <f>S193*S157/(S150*S162+0.667*S162^2)</f>
        <v>0.29203699017067403</v>
      </c>
      <c r="T225" s="574"/>
      <c r="U225" s="535" t="s">
        <v>624</v>
      </c>
      <c r="V225" s="535"/>
    </row>
    <row r="227" spans="1:22" ht="18.75">
      <c r="A227" s="391" t="s">
        <v>625</v>
      </c>
      <c r="B227" s="391"/>
      <c r="C227" s="391"/>
      <c r="D227" s="391"/>
      <c r="L227" s="535" t="s">
        <v>626</v>
      </c>
      <c r="M227" s="535"/>
      <c r="N227" s="574">
        <f>O193/(N150+2*N162)</f>
        <v>110.3929203539823</v>
      </c>
      <c r="O227" s="574"/>
      <c r="P227" s="535" t="s">
        <v>623</v>
      </c>
      <c r="Q227" s="535"/>
      <c r="S227" s="574">
        <f>S193/(S150+2*S162)</f>
        <v>0.63602837600167239</v>
      </c>
      <c r="T227" s="574"/>
      <c r="U227" s="535" t="s">
        <v>624</v>
      </c>
      <c r="V227" s="535"/>
    </row>
    <row r="230" spans="1:22" ht="18.75">
      <c r="A230" s="391" t="s">
        <v>627</v>
      </c>
      <c r="B230" s="391"/>
      <c r="C230" s="391"/>
      <c r="D230" s="391"/>
      <c r="L230" s="535" t="s">
        <v>628</v>
      </c>
      <c r="M230" s="535"/>
      <c r="N230" s="574">
        <f>(N225^2+N227^2)^0.5</f>
        <v>121.47361814107722</v>
      </c>
      <c r="O230" s="574"/>
      <c r="P230" s="535" t="s">
        <v>623</v>
      </c>
      <c r="Q230" s="535"/>
      <c r="S230" s="574">
        <f>(S225^2+S227^2)^0.5</f>
        <v>0.69986977267722539</v>
      </c>
      <c r="T230" s="574"/>
      <c r="U230" s="535" t="s">
        <v>624</v>
      </c>
      <c r="V230" s="535"/>
    </row>
    <row r="232" spans="1:22" ht="18.75">
      <c r="E232" s="391" t="s">
        <v>618</v>
      </c>
      <c r="F232" s="391"/>
      <c r="G232" s="30" t="s">
        <v>629</v>
      </c>
      <c r="H232" s="30"/>
      <c r="L232" s="535" t="s">
        <v>630</v>
      </c>
      <c r="M232" s="535"/>
      <c r="N232" s="574">
        <f>N230/9.6</f>
        <v>12.653501889695544</v>
      </c>
      <c r="O232" s="574"/>
      <c r="P232" s="535" t="s">
        <v>29</v>
      </c>
      <c r="Q232" s="535"/>
      <c r="S232" s="574">
        <f>S230/9.6</f>
        <v>7.2903101320544311E-2</v>
      </c>
      <c r="T232" s="574"/>
      <c r="U232" s="535" t="s">
        <v>574</v>
      </c>
      <c r="V232" s="535"/>
    </row>
    <row r="233" spans="1:22" ht="18.75">
      <c r="N233" s="575">
        <v>10</v>
      </c>
      <c r="O233" s="575"/>
      <c r="P233" s="535" t="s">
        <v>29</v>
      </c>
      <c r="Q233" s="535"/>
      <c r="S233" s="574">
        <f>N233/25.4</f>
        <v>0.39370078740157483</v>
      </c>
      <c r="T233" s="574"/>
      <c r="U233" s="535" t="s">
        <v>574</v>
      </c>
      <c r="V233" s="535"/>
    </row>
  </sheetData>
  <mergeCells count="415">
    <mergeCell ref="A9:J10"/>
    <mergeCell ref="B49:H49"/>
    <mergeCell ref="I49:J49"/>
    <mergeCell ref="B50:H50"/>
    <mergeCell ref="I50:J50"/>
    <mergeCell ref="L50:O50"/>
    <mergeCell ref="P50:Q50"/>
    <mergeCell ref="F59:Q59"/>
    <mergeCell ref="B53:J53"/>
    <mergeCell ref="K53:L53"/>
    <mergeCell ref="M53:T53"/>
    <mergeCell ref="B52:G52"/>
    <mergeCell ref="I51:J51"/>
    <mergeCell ref="I52:J52"/>
    <mergeCell ref="K51:K52"/>
    <mergeCell ref="L51:S52"/>
    <mergeCell ref="T51:T52"/>
    <mergeCell ref="I64:K65"/>
    <mergeCell ref="L64:N65"/>
    <mergeCell ref="O64:P65"/>
    <mergeCell ref="Q64:R65"/>
    <mergeCell ref="S64:T65"/>
    <mergeCell ref="T60:T61"/>
    <mergeCell ref="A54:E59"/>
    <mergeCell ref="R54:V59"/>
    <mergeCell ref="A62:E63"/>
    <mergeCell ref="F62:I63"/>
    <mergeCell ref="F54:Q58"/>
    <mergeCell ref="A60:E60"/>
    <mergeCell ref="G60:H60"/>
    <mergeCell ref="I60:J60"/>
    <mergeCell ref="K60:L60"/>
    <mergeCell ref="N60:O60"/>
    <mergeCell ref="R60:R61"/>
    <mergeCell ref="S60:S61"/>
    <mergeCell ref="U60:V61"/>
    <mergeCell ref="A61:E61"/>
    <mergeCell ref="G61:H61"/>
    <mergeCell ref="I61:J61"/>
    <mergeCell ref="K61:L61"/>
    <mergeCell ref="N61:O61"/>
    <mergeCell ref="A66:E66"/>
    <mergeCell ref="F66:H66"/>
    <mergeCell ref="I66:K66"/>
    <mergeCell ref="L66:N66"/>
    <mergeCell ref="O66:P66"/>
    <mergeCell ref="Q66:R66"/>
    <mergeCell ref="S66:T66"/>
    <mergeCell ref="A64:E65"/>
    <mergeCell ref="S69:T69"/>
    <mergeCell ref="S67:T67"/>
    <mergeCell ref="A68:E68"/>
    <mergeCell ref="F68:H68"/>
    <mergeCell ref="I68:K68"/>
    <mergeCell ref="L68:N68"/>
    <mergeCell ref="O68:P68"/>
    <mergeCell ref="Q68:R68"/>
    <mergeCell ref="S68:T68"/>
    <mergeCell ref="A67:E67"/>
    <mergeCell ref="F67:H67"/>
    <mergeCell ref="I67:K67"/>
    <mergeCell ref="L67:N67"/>
    <mergeCell ref="O67:P67"/>
    <mergeCell ref="Q67:R67"/>
    <mergeCell ref="F64:H65"/>
    <mergeCell ref="A70:E70"/>
    <mergeCell ref="F70:H70"/>
    <mergeCell ref="I70:K70"/>
    <mergeCell ref="L70:N70"/>
    <mergeCell ref="O70:P70"/>
    <mergeCell ref="Q70:R70"/>
    <mergeCell ref="S70:T70"/>
    <mergeCell ref="A69:E69"/>
    <mergeCell ref="F69:H69"/>
    <mergeCell ref="I69:K69"/>
    <mergeCell ref="L69:N69"/>
    <mergeCell ref="O69:P69"/>
    <mergeCell ref="Q69:R69"/>
    <mergeCell ref="S71:T71"/>
    <mergeCell ref="A72:E72"/>
    <mergeCell ref="F72:H72"/>
    <mergeCell ref="I72:K72"/>
    <mergeCell ref="L72:N72"/>
    <mergeCell ref="O72:P72"/>
    <mergeCell ref="Q72:R72"/>
    <mergeCell ref="S72:T72"/>
    <mergeCell ref="A71:E71"/>
    <mergeCell ref="F71:H71"/>
    <mergeCell ref="I71:K71"/>
    <mergeCell ref="L71:N71"/>
    <mergeCell ref="O71:P71"/>
    <mergeCell ref="Q71:R71"/>
    <mergeCell ref="S73:T73"/>
    <mergeCell ref="A75:O75"/>
    <mergeCell ref="R75:S75"/>
    <mergeCell ref="A76:O76"/>
    <mergeCell ref="R76:S76"/>
    <mergeCell ref="A74:R74"/>
    <mergeCell ref="S74:T74"/>
    <mergeCell ref="A73:E73"/>
    <mergeCell ref="F73:H73"/>
    <mergeCell ref="I73:K73"/>
    <mergeCell ref="L73:N73"/>
    <mergeCell ref="O73:P73"/>
    <mergeCell ref="Q73:R73"/>
    <mergeCell ref="A80:P80"/>
    <mergeCell ref="R80:S80"/>
    <mergeCell ref="A81:P81"/>
    <mergeCell ref="R81:S81"/>
    <mergeCell ref="A82:O83"/>
    <mergeCell ref="R82:S83"/>
    <mergeCell ref="A77:O77"/>
    <mergeCell ref="R77:S77"/>
    <mergeCell ref="A78:P78"/>
    <mergeCell ref="R78:S78"/>
    <mergeCell ref="A79:P79"/>
    <mergeCell ref="R79:S79"/>
    <mergeCell ref="F6:Q6"/>
    <mergeCell ref="T7:T8"/>
    <mergeCell ref="A1:E6"/>
    <mergeCell ref="R1:V6"/>
    <mergeCell ref="F1:Q5"/>
    <mergeCell ref="A7:E7"/>
    <mergeCell ref="G7:H7"/>
    <mergeCell ref="I7:J7"/>
    <mergeCell ref="K7:L7"/>
    <mergeCell ref="N7:O7"/>
    <mergeCell ref="R7:R8"/>
    <mergeCell ref="S7:S8"/>
    <mergeCell ref="U7:V8"/>
    <mergeCell ref="A8:E8"/>
    <mergeCell ref="G8:H8"/>
    <mergeCell ref="I8:J8"/>
    <mergeCell ref="K8:L8"/>
    <mergeCell ref="N8:O8"/>
    <mergeCell ref="A84:P84"/>
    <mergeCell ref="B100:S101"/>
    <mergeCell ref="B102:S103"/>
    <mergeCell ref="R84:S84"/>
    <mergeCell ref="A85:P85"/>
    <mergeCell ref="R85:S85"/>
    <mergeCell ref="R86:S86"/>
    <mergeCell ref="A86:O86"/>
    <mergeCell ref="B104:F104"/>
    <mergeCell ref="A94:Q96"/>
    <mergeCell ref="R94:S96"/>
    <mergeCell ref="A97:Q97"/>
    <mergeCell ref="R97:S97"/>
    <mergeCell ref="A98:P98"/>
    <mergeCell ref="A99:Q99"/>
    <mergeCell ref="R98:S98"/>
    <mergeCell ref="R99:S99"/>
    <mergeCell ref="J104:K104"/>
    <mergeCell ref="N104:S104"/>
    <mergeCell ref="A118:E123"/>
    <mergeCell ref="R118:V123"/>
    <mergeCell ref="F123:Q123"/>
    <mergeCell ref="T124:T125"/>
    <mergeCell ref="A87:Q87"/>
    <mergeCell ref="R87:S87"/>
    <mergeCell ref="A88:Q90"/>
    <mergeCell ref="R88:S90"/>
    <mergeCell ref="A91:Q93"/>
    <mergeCell ref="R91:S93"/>
    <mergeCell ref="F118:Q122"/>
    <mergeCell ref="A124:E124"/>
    <mergeCell ref="G124:H124"/>
    <mergeCell ref="I124:J124"/>
    <mergeCell ref="K124:L124"/>
    <mergeCell ref="N124:O124"/>
    <mergeCell ref="R124:R125"/>
    <mergeCell ref="S124:S125"/>
    <mergeCell ref="U124:V125"/>
    <mergeCell ref="A125:E125"/>
    <mergeCell ref="G125:H125"/>
    <mergeCell ref="I125:J125"/>
    <mergeCell ref="K125:L125"/>
    <mergeCell ref="N125:O125"/>
    <mergeCell ref="A127:J128"/>
    <mergeCell ref="A149:K149"/>
    <mergeCell ref="A150:K150"/>
    <mergeCell ref="A151:K151"/>
    <mergeCell ref="A152:K152"/>
    <mergeCell ref="A153:K153"/>
    <mergeCell ref="A154:K154"/>
    <mergeCell ref="A155:K155"/>
    <mergeCell ref="A156:K156"/>
    <mergeCell ref="A157:K157"/>
    <mergeCell ref="A158:K158"/>
    <mergeCell ref="A159:K159"/>
    <mergeCell ref="A160:K160"/>
    <mergeCell ref="A161:K161"/>
    <mergeCell ref="A162:K162"/>
    <mergeCell ref="A163:K163"/>
    <mergeCell ref="A164:K164"/>
    <mergeCell ref="A165:K165"/>
    <mergeCell ref="A166:K166"/>
    <mergeCell ref="A167:K167"/>
    <mergeCell ref="A168:K168"/>
    <mergeCell ref="A169:K169"/>
    <mergeCell ref="A170:K170"/>
    <mergeCell ref="L149:M149"/>
    <mergeCell ref="L150:M150"/>
    <mergeCell ref="L151:M151"/>
    <mergeCell ref="L152:M152"/>
    <mergeCell ref="L153:M153"/>
    <mergeCell ref="L154:M154"/>
    <mergeCell ref="L155:M155"/>
    <mergeCell ref="L156:M156"/>
    <mergeCell ref="L157:M157"/>
    <mergeCell ref="L158:M158"/>
    <mergeCell ref="L159:M159"/>
    <mergeCell ref="L160:M160"/>
    <mergeCell ref="L161:M161"/>
    <mergeCell ref="L162:M162"/>
    <mergeCell ref="L163:M163"/>
    <mergeCell ref="L164:M164"/>
    <mergeCell ref="L165:M165"/>
    <mergeCell ref="L166:M166"/>
    <mergeCell ref="L167:M167"/>
    <mergeCell ref="P159:Q159"/>
    <mergeCell ref="P160:Q160"/>
    <mergeCell ref="P161:Q161"/>
    <mergeCell ref="P162:Q162"/>
    <mergeCell ref="P163:Q163"/>
    <mergeCell ref="P164:Q164"/>
    <mergeCell ref="P165:Q165"/>
    <mergeCell ref="P166:Q166"/>
    <mergeCell ref="P167:Q167"/>
    <mergeCell ref="P149:Q149"/>
    <mergeCell ref="P150:Q150"/>
    <mergeCell ref="P151:Q151"/>
    <mergeCell ref="P152:Q152"/>
    <mergeCell ref="P153:Q153"/>
    <mergeCell ref="P155:Q155"/>
    <mergeCell ref="P156:Q156"/>
    <mergeCell ref="P157:Q157"/>
    <mergeCell ref="P158:Q158"/>
    <mergeCell ref="N149:O149"/>
    <mergeCell ref="N150:O150"/>
    <mergeCell ref="N151:O151"/>
    <mergeCell ref="N152:O152"/>
    <mergeCell ref="N153:O153"/>
    <mergeCell ref="N154:O154"/>
    <mergeCell ref="N155:O155"/>
    <mergeCell ref="N156:O156"/>
    <mergeCell ref="N157:O157"/>
    <mergeCell ref="N158:O158"/>
    <mergeCell ref="N159:O159"/>
    <mergeCell ref="N160:O160"/>
    <mergeCell ref="N161:O161"/>
    <mergeCell ref="N162:O162"/>
    <mergeCell ref="N163:O163"/>
    <mergeCell ref="N164:O164"/>
    <mergeCell ref="N165:O165"/>
    <mergeCell ref="N166:O166"/>
    <mergeCell ref="N169:O169"/>
    <mergeCell ref="N170:O170"/>
    <mergeCell ref="A173:E178"/>
    <mergeCell ref="R173:V178"/>
    <mergeCell ref="F178:Q178"/>
    <mergeCell ref="L168:M168"/>
    <mergeCell ref="L169:M169"/>
    <mergeCell ref="L170:M170"/>
    <mergeCell ref="P168:Q168"/>
    <mergeCell ref="P169:Q169"/>
    <mergeCell ref="P170:Q170"/>
    <mergeCell ref="F173:Q177"/>
    <mergeCell ref="A182:K182"/>
    <mergeCell ref="A183:K183"/>
    <mergeCell ref="U183:V183"/>
    <mergeCell ref="Q182:R182"/>
    <mergeCell ref="Q183:R183"/>
    <mergeCell ref="M182:N182"/>
    <mergeCell ref="M183:N183"/>
    <mergeCell ref="A179:E179"/>
    <mergeCell ref="G179:H179"/>
    <mergeCell ref="I179:J179"/>
    <mergeCell ref="K179:L179"/>
    <mergeCell ref="N179:O179"/>
    <mergeCell ref="R179:R180"/>
    <mergeCell ref="S179:S180"/>
    <mergeCell ref="U179:V180"/>
    <mergeCell ref="A180:E180"/>
    <mergeCell ref="G180:H180"/>
    <mergeCell ref="I180:J180"/>
    <mergeCell ref="K180:L180"/>
    <mergeCell ref="N180:O180"/>
    <mergeCell ref="T179:T180"/>
    <mergeCell ref="U186:V186"/>
    <mergeCell ref="U188:V188"/>
    <mergeCell ref="U189:V189"/>
    <mergeCell ref="U190:V190"/>
    <mergeCell ref="A184:K184"/>
    <mergeCell ref="A185:K185"/>
    <mergeCell ref="A186:K186"/>
    <mergeCell ref="A188:K188"/>
    <mergeCell ref="A189:K189"/>
    <mergeCell ref="A190:K190"/>
    <mergeCell ref="M184:N184"/>
    <mergeCell ref="M185:N185"/>
    <mergeCell ref="M186:N186"/>
    <mergeCell ref="M188:N188"/>
    <mergeCell ref="M189:N189"/>
    <mergeCell ref="M190:N190"/>
    <mergeCell ref="Q188:R188"/>
    <mergeCell ref="Q189:R189"/>
    <mergeCell ref="Q190:R190"/>
    <mergeCell ref="U191:V191"/>
    <mergeCell ref="U193:V193"/>
    <mergeCell ref="O182:P182"/>
    <mergeCell ref="O183:P183"/>
    <mergeCell ref="O184:P184"/>
    <mergeCell ref="O185:P185"/>
    <mergeCell ref="O186:P186"/>
    <mergeCell ref="O187:P187"/>
    <mergeCell ref="O188:P188"/>
    <mergeCell ref="O189:P189"/>
    <mergeCell ref="O190:P190"/>
    <mergeCell ref="O191:P191"/>
    <mergeCell ref="O192:P192"/>
    <mergeCell ref="S183:T183"/>
    <mergeCell ref="S184:T184"/>
    <mergeCell ref="S186:T186"/>
    <mergeCell ref="S188:T188"/>
    <mergeCell ref="S189:T189"/>
    <mergeCell ref="S190:T190"/>
    <mergeCell ref="S191:T191"/>
    <mergeCell ref="Q184:R184"/>
    <mergeCell ref="Q185:R185"/>
    <mergeCell ref="Q186:R186"/>
    <mergeCell ref="U184:V184"/>
    <mergeCell ref="M193:N193"/>
    <mergeCell ref="Q193:R193"/>
    <mergeCell ref="S193:T193"/>
    <mergeCell ref="A193:K193"/>
    <mergeCell ref="O193:P193"/>
    <mergeCell ref="A195:D195"/>
    <mergeCell ref="M195:N195"/>
    <mergeCell ref="O195:P195"/>
    <mergeCell ref="M191:N191"/>
    <mergeCell ref="Q191:R191"/>
    <mergeCell ref="A207:S207"/>
    <mergeCell ref="A206:U206"/>
    <mergeCell ref="A209:H209"/>
    <mergeCell ref="L209:M209"/>
    <mergeCell ref="P209:Q209"/>
    <mergeCell ref="N209:O209"/>
    <mergeCell ref="A211:H211"/>
    <mergeCell ref="A199:D199"/>
    <mergeCell ref="M199:N199"/>
    <mergeCell ref="M200:N200"/>
    <mergeCell ref="Q199:R199"/>
    <mergeCell ref="Q200:R200"/>
    <mergeCell ref="O199:P199"/>
    <mergeCell ref="O200:P200"/>
    <mergeCell ref="F202:O202"/>
    <mergeCell ref="A212:K212"/>
    <mergeCell ref="L212:M212"/>
    <mergeCell ref="N212:O212"/>
    <mergeCell ref="P212:Q212"/>
    <mergeCell ref="S212:T212"/>
    <mergeCell ref="L214:M214"/>
    <mergeCell ref="N214:O214"/>
    <mergeCell ref="P214:Q214"/>
    <mergeCell ref="S214:T214"/>
    <mergeCell ref="A215:K215"/>
    <mergeCell ref="A217:K217"/>
    <mergeCell ref="L217:M217"/>
    <mergeCell ref="L218:M218"/>
    <mergeCell ref="L219:M219"/>
    <mergeCell ref="L220:M220"/>
    <mergeCell ref="P217:Q217"/>
    <mergeCell ref="P218:Q218"/>
    <mergeCell ref="P219:Q219"/>
    <mergeCell ref="N225:O225"/>
    <mergeCell ref="S225:T225"/>
    <mergeCell ref="A227:D227"/>
    <mergeCell ref="L227:M227"/>
    <mergeCell ref="P227:Q227"/>
    <mergeCell ref="U227:V227"/>
    <mergeCell ref="N227:O227"/>
    <mergeCell ref="S227:T227"/>
    <mergeCell ref="S217:T217"/>
    <mergeCell ref="S218:T218"/>
    <mergeCell ref="S219:T219"/>
    <mergeCell ref="N217:O217"/>
    <mergeCell ref="N218:O218"/>
    <mergeCell ref="N219:O219"/>
    <mergeCell ref="N221:O221"/>
    <mergeCell ref="I221:J221"/>
    <mergeCell ref="N167:O167"/>
    <mergeCell ref="N168:O168"/>
    <mergeCell ref="U51:V52"/>
    <mergeCell ref="U232:V232"/>
    <mergeCell ref="S232:T232"/>
    <mergeCell ref="S233:T233"/>
    <mergeCell ref="A230:D230"/>
    <mergeCell ref="L230:M230"/>
    <mergeCell ref="P230:Q230"/>
    <mergeCell ref="U230:V230"/>
    <mergeCell ref="N230:O230"/>
    <mergeCell ref="S230:T230"/>
    <mergeCell ref="E232:F232"/>
    <mergeCell ref="L232:M232"/>
    <mergeCell ref="N232:O232"/>
    <mergeCell ref="P232:Q232"/>
    <mergeCell ref="P233:Q233"/>
    <mergeCell ref="N233:O233"/>
    <mergeCell ref="U233:V233"/>
    <mergeCell ref="A223:F223"/>
    <mergeCell ref="A225:F225"/>
    <mergeCell ref="L225:M225"/>
    <mergeCell ref="P225:Q225"/>
    <mergeCell ref="U225:V225"/>
  </mergeCells>
  <conditionalFormatting sqref="M53:T53">
    <cfRule type="containsText" dxfId="12" priority="9" operator="containsText" text="NOT OK">
      <formula>NOT(ISERROR(SEARCH("NOT OK",M53)))</formula>
    </cfRule>
    <cfRule type="containsText" dxfId="11" priority="10" operator="containsText" text="OK">
      <formula>NOT(ISERROR(SEARCH("OK",M53)))</formula>
    </cfRule>
  </conditionalFormatting>
  <conditionalFormatting sqref="N104:S104">
    <cfRule type="containsText" dxfId="10" priority="1" operator="containsText" text="YES">
      <formula>NOT(ISERROR(SEARCH("YES",N104)))</formula>
    </cfRule>
  </conditionalFormatting>
  <conditionalFormatting sqref="P221">
    <cfRule type="containsText" dxfId="9" priority="4" operator="containsText" text="ok">
      <formula>NOT(ISERROR(SEARCH("ok",P221)))</formula>
    </cfRule>
  </conditionalFormatting>
  <conditionalFormatting sqref="Q202">
    <cfRule type="containsText" dxfId="8" priority="6" operator="containsText" text="ok">
      <formula>NOT(ISERROR(SEARCH("ok",Q202)))</formula>
    </cfRule>
  </conditionalFormatting>
  <conditionalFormatting sqref="Q66:R73">
    <cfRule type="containsText" dxfId="7" priority="0" operator="containsText" text="Not Required">
      <formula>NOT(ISERROR(SEARCH("Not Required",Q66)))</formula>
    </cfRule>
    <cfRule type="containsText" dxfId="6" priority="7" operator="containsText" text=" Required">
      <formula>NOT(ISERROR(SEARCH(" Required",Q66)))</formula>
    </cfRule>
    <cfRule type="containsText" dxfId="5" priority="8" operator="containsText" text="Not Required">
      <formula>NOT(ISERROR(SEARCH("Not Required",Q66)))</formula>
    </cfRule>
  </conditionalFormatting>
  <conditionalFormatting sqref="S209">
    <cfRule type="containsText" dxfId="4" priority="5" operator="containsText" text="ok">
      <formula>NOT(ISERROR(SEARCH("ok",S209)))</formula>
    </cfRule>
  </conditionalFormatting>
  <conditionalFormatting sqref="U51:V52">
    <cfRule type="containsText" dxfId="3" priority="2" operator="containsText" text="Pass">
      <formula>NOT(ISERROR(SEARCH("Pass",U51)))</formula>
    </cfRule>
    <cfRule type="containsText" dxfId="2" priority="3" operator="containsText" text="fail">
      <formula>NOT(ISERROR(SEARCH("fail",U51)))</formula>
    </cfRule>
  </conditionalFormatting>
  <printOptions horizontalCentered="1"/>
  <pageMargins left="9.8425196850393706E-2" right="9.8425196850393706E-2" top="0.19685039370078741" bottom="0" header="0.11811023622047245" footer="0.11811023622047245"/>
  <pageSetup paperSize="9" scale="69" orientation="portrait" r:id="rId1"/>
  <rowBreaks count="3" manualBreakCount="3">
    <brk id="53" max="21" man="1"/>
    <brk id="117" max="21" man="1"/>
    <brk id="172" max="2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V190"/>
  <sheetViews>
    <sheetView view="pageBreakPreview" topLeftCell="A40" zoomScaleNormal="100" zoomScaleSheetLayoutView="100" workbookViewId="0">
      <selection activeCell="F190" sqref="F190:Q194"/>
    </sheetView>
  </sheetViews>
  <sheetFormatPr defaultRowHeight="14.25"/>
  <cols>
    <col min="1" max="22" width="5.25" customWidth="1"/>
  </cols>
  <sheetData>
    <row r="1" spans="1:22" ht="14.4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ht="14.45" customHeight="1">
      <c r="A2" s="232"/>
      <c r="B2" s="233"/>
      <c r="C2" s="233"/>
      <c r="D2" s="233"/>
      <c r="E2" s="234"/>
      <c r="F2" s="161"/>
      <c r="G2" s="162"/>
      <c r="H2" s="162"/>
      <c r="I2" s="162"/>
      <c r="J2" s="162"/>
      <c r="K2" s="162"/>
      <c r="L2" s="162"/>
      <c r="M2" s="162"/>
      <c r="N2" s="162"/>
      <c r="O2" s="162"/>
      <c r="P2" s="162"/>
      <c r="Q2" s="163"/>
      <c r="R2" s="177"/>
      <c r="S2" s="177"/>
      <c r="T2" s="177"/>
      <c r="U2" s="177"/>
      <c r="V2" s="240"/>
    </row>
    <row r="3" spans="1:22" ht="14.45" customHeight="1">
      <c r="A3" s="232"/>
      <c r="B3" s="233"/>
      <c r="C3" s="233"/>
      <c r="D3" s="233"/>
      <c r="E3" s="234"/>
      <c r="F3" s="161"/>
      <c r="G3" s="162"/>
      <c r="H3" s="162"/>
      <c r="I3" s="162"/>
      <c r="J3" s="162"/>
      <c r="K3" s="162"/>
      <c r="L3" s="162"/>
      <c r="M3" s="162"/>
      <c r="N3" s="162"/>
      <c r="O3" s="162"/>
      <c r="P3" s="162"/>
      <c r="Q3" s="163"/>
      <c r="R3" s="177"/>
      <c r="S3" s="177"/>
      <c r="T3" s="177"/>
      <c r="U3" s="177"/>
      <c r="V3" s="240"/>
    </row>
    <row r="4" spans="1:22" ht="14.45" customHeight="1">
      <c r="A4" s="232"/>
      <c r="B4" s="233"/>
      <c r="C4" s="233"/>
      <c r="D4" s="233"/>
      <c r="E4" s="234"/>
      <c r="F4" s="161"/>
      <c r="G4" s="162"/>
      <c r="H4" s="162"/>
      <c r="I4" s="162"/>
      <c r="J4" s="162"/>
      <c r="K4" s="162"/>
      <c r="L4" s="162"/>
      <c r="M4" s="162"/>
      <c r="N4" s="162"/>
      <c r="O4" s="162"/>
      <c r="P4" s="162"/>
      <c r="Q4" s="163"/>
      <c r="R4" s="177"/>
      <c r="S4" s="177"/>
      <c r="T4" s="177"/>
      <c r="U4" s="177"/>
      <c r="V4" s="240"/>
    </row>
    <row r="5" spans="1:22" ht="14.45" customHeight="1">
      <c r="A5" s="232"/>
      <c r="B5" s="233"/>
      <c r="C5" s="233"/>
      <c r="D5" s="233"/>
      <c r="E5" s="234"/>
      <c r="F5" s="164"/>
      <c r="G5" s="165"/>
      <c r="H5" s="165"/>
      <c r="I5" s="165"/>
      <c r="J5" s="165"/>
      <c r="K5" s="165"/>
      <c r="L5" s="165"/>
      <c r="M5" s="165"/>
      <c r="N5" s="165"/>
      <c r="O5" s="165"/>
      <c r="P5" s="165"/>
      <c r="Q5" s="166"/>
      <c r="R5" s="177"/>
      <c r="S5" s="177"/>
      <c r="T5" s="177"/>
      <c r="U5" s="177"/>
      <c r="V5" s="240"/>
    </row>
    <row r="6" spans="1:22" ht="19.899999999999999"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20.4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v>29</v>
      </c>
      <c r="S7" s="174" t="s">
        <v>752</v>
      </c>
      <c r="T7" s="263">
        <f>'Anchor Bolt'!T179+1</f>
        <v>29</v>
      </c>
      <c r="U7" s="168" t="s">
        <v>753</v>
      </c>
      <c r="V7" s="188"/>
    </row>
    <row r="8" spans="1:22" ht="20.45"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'Anchor Bolt'!Q180</f>
        <v>V01</v>
      </c>
      <c r="R8" s="173"/>
      <c r="S8" s="175"/>
      <c r="T8" s="264"/>
      <c r="U8" s="189"/>
      <c r="V8" s="190"/>
    </row>
    <row r="9" spans="1:22" ht="20.45" customHeight="1" thickBot="1">
      <c r="A9" s="26"/>
      <c r="B9" s="124"/>
      <c r="C9" s="124"/>
      <c r="D9" s="124"/>
      <c r="E9" s="124"/>
      <c r="F9" s="124"/>
      <c r="G9" s="124"/>
      <c r="H9" s="124"/>
      <c r="I9" s="124"/>
      <c r="J9" s="124"/>
      <c r="K9" s="124"/>
      <c r="L9" s="124"/>
      <c r="M9" s="124"/>
      <c r="N9" s="124"/>
      <c r="O9" s="124"/>
      <c r="P9" s="134"/>
      <c r="Q9" s="124"/>
      <c r="R9" s="124"/>
      <c r="S9" s="124"/>
      <c r="T9" s="130"/>
      <c r="U9" s="139"/>
      <c r="V9" s="139"/>
    </row>
    <row r="10" spans="1:22" ht="16.5" thickBot="1">
      <c r="B10" s="601" t="s">
        <v>648</v>
      </c>
      <c r="C10" s="602"/>
      <c r="D10" s="602"/>
      <c r="E10" s="602"/>
      <c r="F10" s="602"/>
      <c r="G10" s="602"/>
      <c r="H10" s="602"/>
      <c r="I10" s="602"/>
      <c r="J10" s="602"/>
      <c r="K10" s="602"/>
      <c r="L10" s="602"/>
      <c r="M10" s="602"/>
      <c r="N10" s="602"/>
      <c r="O10" s="602"/>
      <c r="P10" s="602"/>
      <c r="Q10" s="602"/>
      <c r="R10" s="602"/>
      <c r="S10" s="602"/>
      <c r="T10" s="603"/>
      <c r="U10" s="100"/>
    </row>
    <row r="11" spans="1:22" ht="15">
      <c r="B11" s="604" t="s">
        <v>634</v>
      </c>
      <c r="C11" s="604"/>
      <c r="D11" s="604"/>
      <c r="E11" s="604"/>
      <c r="F11" s="604"/>
      <c r="G11" s="604"/>
      <c r="H11" s="604"/>
      <c r="I11" s="604" t="s">
        <v>649</v>
      </c>
      <c r="J11" s="604"/>
      <c r="K11" s="604"/>
      <c r="L11" s="604"/>
      <c r="M11" s="604" t="s">
        <v>650</v>
      </c>
      <c r="N11" s="604"/>
      <c r="O11" s="604"/>
      <c r="P11" s="604"/>
      <c r="Q11" s="604"/>
      <c r="R11" s="604"/>
      <c r="S11" s="604"/>
      <c r="T11" s="604"/>
    </row>
    <row r="12" spans="1:22">
      <c r="B12" s="356" t="s">
        <v>651</v>
      </c>
      <c r="C12" s="600"/>
      <c r="D12" s="600"/>
      <c r="E12" s="600"/>
      <c r="F12" s="600"/>
      <c r="G12" s="600"/>
      <c r="H12" s="357"/>
      <c r="I12" s="218">
        <f>'Shell Plate Design '!O39</f>
        <v>8</v>
      </c>
      <c r="J12" s="218"/>
      <c r="K12" s="218"/>
      <c r="L12" s="218"/>
      <c r="M12" s="352">
        <f>'Shell Plate Design '!S39</f>
        <v>5129.5924847814149</v>
      </c>
      <c r="N12" s="352"/>
      <c r="O12" s="352"/>
      <c r="P12" s="352"/>
      <c r="Q12" s="352"/>
      <c r="R12" s="352"/>
      <c r="S12" s="352"/>
      <c r="T12" s="352"/>
    </row>
    <row r="13" spans="1:22">
      <c r="B13" s="356" t="s">
        <v>652</v>
      </c>
      <c r="C13" s="600"/>
      <c r="D13" s="600"/>
      <c r="E13" s="600"/>
      <c r="F13" s="600"/>
      <c r="G13" s="600"/>
      <c r="H13" s="357"/>
      <c r="I13" s="218">
        <f>'Shell Plate Design '!O40</f>
        <v>8</v>
      </c>
      <c r="J13" s="218"/>
      <c r="K13" s="218"/>
      <c r="L13" s="218"/>
      <c r="M13" s="352">
        <f>'Shell Plate Design '!S40</f>
        <v>5129.5924847814149</v>
      </c>
      <c r="N13" s="352"/>
      <c r="O13" s="352"/>
      <c r="P13" s="352"/>
      <c r="Q13" s="352"/>
      <c r="R13" s="352"/>
      <c r="S13" s="352"/>
      <c r="T13" s="352"/>
    </row>
    <row r="14" spans="1:22">
      <c r="B14" s="356" t="s">
        <v>653</v>
      </c>
      <c r="C14" s="600"/>
      <c r="D14" s="600"/>
      <c r="E14" s="600"/>
      <c r="F14" s="600"/>
      <c r="G14" s="600"/>
      <c r="H14" s="357"/>
      <c r="I14" s="218">
        <f>'Shell Plate Design '!O41</f>
        <v>6</v>
      </c>
      <c r="J14" s="218"/>
      <c r="K14" s="218"/>
      <c r="L14" s="218"/>
      <c r="M14" s="352">
        <f>'Shell Plate Design '!S41</f>
        <v>2885.395772689546</v>
      </c>
      <c r="N14" s="352"/>
      <c r="O14" s="352"/>
      <c r="P14" s="352"/>
      <c r="Q14" s="352"/>
      <c r="R14" s="352"/>
      <c r="S14" s="352"/>
      <c r="T14" s="352"/>
    </row>
    <row r="15" spans="1:22">
      <c r="B15" s="356" t="s">
        <v>654</v>
      </c>
      <c r="C15" s="600"/>
      <c r="D15" s="600"/>
      <c r="E15" s="600"/>
      <c r="F15" s="600"/>
      <c r="G15" s="600"/>
      <c r="H15" s="357"/>
      <c r="I15" s="218">
        <f>'Shell Plate Design '!O42</f>
        <v>6</v>
      </c>
      <c r="J15" s="218"/>
      <c r="K15" s="218"/>
      <c r="L15" s="218"/>
      <c r="M15" s="352">
        <f>'Shell Plate Design '!S42</f>
        <v>2885.395772689546</v>
      </c>
      <c r="N15" s="352"/>
      <c r="O15" s="352"/>
      <c r="P15" s="352"/>
      <c r="Q15" s="352"/>
      <c r="R15" s="352"/>
      <c r="S15" s="352"/>
      <c r="T15" s="352"/>
    </row>
    <row r="16" spans="1:22" ht="409.5">
      <c r="A16" s="157" t="s">
        <v>901</v>
      </c>
      <c r="B16" s="356" t="s">
        <v>655</v>
      </c>
      <c r="C16" s="600"/>
      <c r="D16" s="600"/>
      <c r="E16" s="600"/>
      <c r="F16" s="600"/>
      <c r="G16" s="600"/>
      <c r="H16" s="357"/>
      <c r="I16" s="218">
        <f>'Shell Plate Design '!O43</f>
        <v>6</v>
      </c>
      <c r="J16" s="218"/>
      <c r="K16" s="218"/>
      <c r="L16" s="218"/>
      <c r="M16" s="352">
        <f>'Shell Plate Design '!S43</f>
        <v>2885.395772689546</v>
      </c>
      <c r="N16" s="352"/>
      <c r="O16" s="352"/>
      <c r="P16" s="352"/>
      <c r="Q16" s="352"/>
      <c r="R16" s="352"/>
      <c r="S16" s="352"/>
      <c r="T16" s="352"/>
    </row>
    <row r="17" spans="2:20">
      <c r="B17" s="356" t="s">
        <v>656</v>
      </c>
      <c r="C17" s="600"/>
      <c r="D17" s="600"/>
      <c r="E17" s="600"/>
      <c r="F17" s="600"/>
      <c r="G17" s="600"/>
      <c r="H17" s="357"/>
      <c r="I17" s="218">
        <f>'Shell Plate Design '!O44</f>
        <v>6</v>
      </c>
      <c r="J17" s="218"/>
      <c r="K17" s="218"/>
      <c r="L17" s="218"/>
      <c r="M17" s="352">
        <f>'Shell Plate Design '!S44</f>
        <v>1923.5971817930306</v>
      </c>
      <c r="N17" s="352"/>
      <c r="O17" s="352"/>
      <c r="P17" s="352"/>
      <c r="Q17" s="352"/>
      <c r="R17" s="352"/>
      <c r="S17" s="352"/>
      <c r="T17" s="352"/>
    </row>
    <row r="18" spans="2:20">
      <c r="B18" s="605" t="str">
        <f>'Bottom &amp; Annular plate design'!B69</f>
        <v>Bottom plate weight (including annular)    kg</v>
      </c>
      <c r="C18" s="605"/>
      <c r="D18" s="605"/>
      <c r="E18" s="605"/>
      <c r="F18" s="605"/>
      <c r="G18" s="605"/>
      <c r="H18" s="605"/>
      <c r="I18" s="150">
        <f>'Bottom &amp; Annular plate design'!F15</f>
        <v>8</v>
      </c>
      <c r="J18" s="606" t="str">
        <f>'Bottom &amp; Annular plate design'!T69</f>
        <v xml:space="preserve"> (650 kg overl lap)</v>
      </c>
      <c r="K18" s="606"/>
      <c r="L18" s="607"/>
      <c r="M18" s="352">
        <f>'Bottom &amp; Annular plate design'!Q69</f>
        <v>9140.1858135803614</v>
      </c>
      <c r="N18" s="352"/>
      <c r="O18" s="352"/>
      <c r="P18" s="352"/>
      <c r="Q18" s="352"/>
      <c r="R18" s="352"/>
      <c r="S18" s="352"/>
      <c r="T18" s="352"/>
    </row>
    <row r="19" spans="2:20">
      <c r="B19" s="218" t="s">
        <v>657</v>
      </c>
      <c r="C19" s="218"/>
      <c r="D19" s="218"/>
      <c r="E19" s="218"/>
      <c r="F19" s="218"/>
      <c r="G19" s="218"/>
      <c r="H19" s="218"/>
      <c r="I19" s="149">
        <f>'Roof design'!Q27</f>
        <v>8</v>
      </c>
      <c r="J19" s="606" t="str">
        <f>J18</f>
        <v xml:space="preserve"> (650 kg overl lap)</v>
      </c>
      <c r="K19" s="606"/>
      <c r="L19" s="607"/>
      <c r="M19" s="352">
        <f>'Roof design'!E40</f>
        <v>13318.695369500001</v>
      </c>
      <c r="N19" s="352"/>
      <c r="O19" s="352"/>
      <c r="P19" s="352"/>
      <c r="Q19" s="352"/>
      <c r="R19" s="352"/>
      <c r="S19" s="352"/>
      <c r="T19" s="352"/>
    </row>
    <row r="20" spans="2:20">
      <c r="B20" s="218" t="s">
        <v>143</v>
      </c>
      <c r="C20" s="218"/>
      <c r="D20" s="218"/>
      <c r="E20" s="218"/>
      <c r="F20" s="218"/>
      <c r="G20" s="218"/>
      <c r="H20" s="218"/>
      <c r="I20" s="218" t="str">
        <f>'Top Angle &amp; Intermediate wind g'!H22</f>
        <v>L 80x80x8</v>
      </c>
      <c r="J20" s="218"/>
      <c r="K20" s="218"/>
      <c r="L20" s="218"/>
      <c r="M20" s="608">
        <f>'Top Angle &amp; Intermediate wind g'!H25</f>
        <v>393.29598430290628</v>
      </c>
      <c r="N20" s="608"/>
      <c r="O20" s="608"/>
      <c r="P20" s="608"/>
      <c r="Q20" s="608"/>
      <c r="R20" s="608"/>
      <c r="S20" s="608"/>
      <c r="T20" s="608"/>
    </row>
    <row r="21" spans="2:20">
      <c r="B21" s="218" t="s">
        <v>658</v>
      </c>
      <c r="C21" s="218"/>
      <c r="D21" s="218"/>
      <c r="E21" s="218"/>
      <c r="F21" s="218"/>
      <c r="G21" s="218"/>
      <c r="H21" s="218"/>
      <c r="I21" s="218" t="str">
        <f>'Top Angle &amp; Intermediate wind g'!K136</f>
        <v>L120x120x12</v>
      </c>
      <c r="J21" s="218"/>
      <c r="K21" s="218"/>
      <c r="L21" s="218"/>
      <c r="M21" s="352">
        <f>30.48*7.38</f>
        <v>224.94239999999999</v>
      </c>
      <c r="N21" s="352"/>
      <c r="O21" s="352"/>
      <c r="P21" s="352"/>
      <c r="Q21" s="352"/>
      <c r="R21" s="352"/>
      <c r="S21" s="352"/>
      <c r="T21" s="352"/>
    </row>
    <row r="22" spans="2:20">
      <c r="B22" s="218" t="s">
        <v>659</v>
      </c>
      <c r="C22" s="218"/>
      <c r="D22" s="218"/>
      <c r="E22" s="218"/>
      <c r="F22" s="218"/>
      <c r="G22" s="218"/>
      <c r="H22" s="218"/>
      <c r="I22" s="218" t="s">
        <v>662</v>
      </c>
      <c r="J22" s="218"/>
      <c r="K22" s="218"/>
      <c r="L22" s="218"/>
      <c r="M22" s="218">
        <v>2500</v>
      </c>
      <c r="N22" s="218"/>
      <c r="O22" s="218"/>
      <c r="P22" s="218"/>
      <c r="Q22" s="218"/>
      <c r="R22" s="218"/>
      <c r="S22" s="218"/>
      <c r="T22" s="218"/>
    </row>
    <row r="23" spans="2:20">
      <c r="B23" s="218" t="s">
        <v>660</v>
      </c>
      <c r="C23" s="218"/>
      <c r="D23" s="218"/>
      <c r="E23" s="218"/>
      <c r="F23" s="218"/>
      <c r="G23" s="218"/>
      <c r="H23" s="218"/>
      <c r="I23" s="218" t="s">
        <v>662</v>
      </c>
      <c r="J23" s="218"/>
      <c r="K23" s="218"/>
      <c r="L23" s="218"/>
      <c r="M23" s="218">
        <v>2598</v>
      </c>
      <c r="N23" s="218"/>
      <c r="O23" s="218"/>
      <c r="P23" s="218"/>
      <c r="Q23" s="218"/>
      <c r="R23" s="218"/>
      <c r="S23" s="218"/>
      <c r="T23" s="218"/>
    </row>
    <row r="24" spans="2:20">
      <c r="B24" s="356" t="s">
        <v>661</v>
      </c>
      <c r="C24" s="600"/>
      <c r="D24" s="600"/>
      <c r="E24" s="600"/>
      <c r="F24" s="600"/>
      <c r="G24" s="600"/>
      <c r="H24" s="357"/>
      <c r="I24" s="218" t="s">
        <v>662</v>
      </c>
      <c r="J24" s="218"/>
      <c r="K24" s="218"/>
      <c r="L24" s="218"/>
      <c r="M24" s="608">
        <f>SUM(M12:T23)*0.03</f>
        <v>1470.4226711042329</v>
      </c>
      <c r="N24" s="608"/>
      <c r="O24" s="608"/>
      <c r="P24" s="608"/>
      <c r="Q24" s="608"/>
      <c r="R24" s="608"/>
      <c r="S24" s="608"/>
      <c r="T24" s="608"/>
    </row>
    <row r="25" spans="2:20">
      <c r="B25" s="356" t="s">
        <v>663</v>
      </c>
      <c r="C25" s="600"/>
      <c r="D25" s="600"/>
      <c r="E25" s="600"/>
      <c r="F25" s="600"/>
      <c r="G25" s="600"/>
      <c r="H25" s="357"/>
      <c r="I25" s="484" t="s">
        <v>666</v>
      </c>
      <c r="J25" s="263"/>
      <c r="K25" s="263"/>
      <c r="L25" s="485"/>
      <c r="M25" s="352">
        <f>SUM(M12:T24)</f>
        <v>50484.511707912003</v>
      </c>
      <c r="N25" s="218"/>
      <c r="O25" s="218"/>
      <c r="P25" s="218"/>
      <c r="Q25" s="218"/>
      <c r="R25" s="218"/>
      <c r="S25" s="218"/>
      <c r="T25" s="218"/>
    </row>
    <row r="26" spans="2:20">
      <c r="B26" s="356" t="s">
        <v>664</v>
      </c>
      <c r="C26" s="600"/>
      <c r="D26" s="600"/>
      <c r="E26" s="600"/>
      <c r="F26" s="600"/>
      <c r="G26" s="600"/>
      <c r="H26" s="357"/>
      <c r="I26" s="489"/>
      <c r="J26" s="274"/>
      <c r="K26" s="274"/>
      <c r="L26" s="513"/>
      <c r="M26" s="608">
        <f>(COVER!H157*1000)+(M25)</f>
        <v>1310484.511707912</v>
      </c>
      <c r="N26" s="608"/>
      <c r="O26" s="608"/>
      <c r="P26" s="608"/>
      <c r="Q26" s="608"/>
      <c r="R26" s="608"/>
      <c r="S26" s="608"/>
      <c r="T26" s="608"/>
    </row>
    <row r="27" spans="2:20" ht="15" thickBot="1">
      <c r="B27" s="609" t="s">
        <v>665</v>
      </c>
      <c r="C27" s="610"/>
      <c r="D27" s="610"/>
      <c r="E27" s="610"/>
      <c r="F27" s="610"/>
      <c r="G27" s="610"/>
      <c r="H27" s="611"/>
      <c r="I27" s="612"/>
      <c r="J27" s="264"/>
      <c r="K27" s="264"/>
      <c r="L27" s="613"/>
      <c r="M27" s="608">
        <f>(COVER!H158*COVER!H165*1000)+(M25)</f>
        <v>1090484.511707912</v>
      </c>
      <c r="N27" s="608"/>
      <c r="O27" s="608"/>
      <c r="P27" s="608"/>
      <c r="Q27" s="608"/>
      <c r="R27" s="608"/>
      <c r="S27" s="608"/>
      <c r="T27" s="608"/>
    </row>
    <row r="28" spans="2:20" ht="16.5" thickBot="1">
      <c r="B28" s="601" t="s">
        <v>667</v>
      </c>
      <c r="C28" s="602"/>
      <c r="D28" s="602"/>
      <c r="E28" s="602"/>
      <c r="F28" s="602"/>
      <c r="G28" s="602"/>
      <c r="H28" s="602"/>
      <c r="I28" s="602"/>
      <c r="J28" s="602"/>
      <c r="K28" s="602"/>
      <c r="L28" s="602"/>
      <c r="M28" s="602"/>
      <c r="N28" s="602"/>
      <c r="O28" s="602"/>
      <c r="P28" s="602"/>
      <c r="Q28" s="602"/>
      <c r="R28" s="602"/>
      <c r="S28" s="602"/>
      <c r="T28" s="603"/>
    </row>
    <row r="29" spans="2:20">
      <c r="B29" s="483" t="s">
        <v>668</v>
      </c>
      <c r="C29" s="483"/>
      <c r="D29" s="483"/>
      <c r="E29" s="483"/>
      <c r="F29" s="483"/>
      <c r="G29" s="483"/>
      <c r="H29" s="615" t="s">
        <v>670</v>
      </c>
      <c r="I29" s="615"/>
      <c r="J29" s="615"/>
      <c r="K29" s="615"/>
      <c r="L29" s="615"/>
      <c r="M29" s="620">
        <f>'Seismic design2007'!L269</f>
        <v>1963990.0756882404</v>
      </c>
      <c r="N29" s="620"/>
      <c r="O29" s="620"/>
      <c r="P29" s="620"/>
      <c r="Q29" s="620"/>
      <c r="R29" s="620"/>
      <c r="S29" s="620"/>
      <c r="T29" s="620"/>
    </row>
    <row r="30" spans="2:20">
      <c r="B30" s="209"/>
      <c r="C30" s="209"/>
      <c r="D30" s="209"/>
      <c r="E30" s="209"/>
      <c r="F30" s="209"/>
      <c r="G30" s="209"/>
      <c r="H30" s="616" t="s">
        <v>671</v>
      </c>
      <c r="I30" s="617"/>
      <c r="J30" s="218" t="s">
        <v>672</v>
      </c>
      <c r="K30" s="218"/>
      <c r="L30" s="218"/>
      <c r="M30" s="614">
        <f>'Seismic design2007'!D280</f>
        <v>6929589.8409908693</v>
      </c>
      <c r="N30" s="614"/>
      <c r="O30" s="614"/>
      <c r="P30" s="614"/>
      <c r="Q30" s="614"/>
      <c r="R30" s="614"/>
      <c r="S30" s="614"/>
      <c r="T30" s="614"/>
    </row>
    <row r="31" spans="2:20">
      <c r="B31" s="209"/>
      <c r="C31" s="209"/>
      <c r="D31" s="209"/>
      <c r="E31" s="209"/>
      <c r="F31" s="209"/>
      <c r="G31" s="209"/>
      <c r="H31" s="618"/>
      <c r="I31" s="619"/>
      <c r="J31" s="218" t="s">
        <v>673</v>
      </c>
      <c r="K31" s="218"/>
      <c r="L31" s="218"/>
      <c r="M31" s="614">
        <f>'Seismic design2007'!D287</f>
        <v>10790497.127135558</v>
      </c>
      <c r="N31" s="614"/>
      <c r="O31" s="614"/>
      <c r="P31" s="614"/>
      <c r="Q31" s="614"/>
      <c r="R31" s="614"/>
      <c r="S31" s="614"/>
      <c r="T31" s="614"/>
    </row>
    <row r="32" spans="2:20">
      <c r="B32" s="209" t="s">
        <v>669</v>
      </c>
      <c r="C32" s="209"/>
      <c r="D32" s="209"/>
      <c r="E32" s="209"/>
      <c r="F32" s="209"/>
      <c r="G32" s="209"/>
      <c r="H32" s="218" t="s">
        <v>670</v>
      </c>
      <c r="I32" s="218"/>
      <c r="J32" s="218"/>
      <c r="K32" s="218"/>
      <c r="L32" s="218"/>
      <c r="M32" s="614">
        <f>'Wind overturning stability'!P77</f>
        <v>456771.61881345342</v>
      </c>
      <c r="N32" s="614"/>
      <c r="O32" s="614"/>
      <c r="P32" s="614"/>
      <c r="Q32" s="614"/>
      <c r="R32" s="614"/>
      <c r="S32" s="614"/>
      <c r="T32" s="614"/>
    </row>
    <row r="33" spans="1:22">
      <c r="B33" s="209"/>
      <c r="C33" s="209"/>
      <c r="D33" s="209"/>
      <c r="E33" s="209"/>
      <c r="F33" s="209"/>
      <c r="G33" s="209"/>
      <c r="H33" s="218" t="s">
        <v>671</v>
      </c>
      <c r="I33" s="218"/>
      <c r="J33" s="218"/>
      <c r="K33" s="218"/>
      <c r="L33" s="218"/>
      <c r="M33" s="614">
        <f>'Wind overturning stability'!P76</f>
        <v>2682225.6696558683</v>
      </c>
      <c r="N33" s="614"/>
      <c r="O33" s="614"/>
      <c r="P33" s="614"/>
      <c r="Q33" s="614"/>
      <c r="R33" s="614"/>
      <c r="S33" s="614"/>
      <c r="T33" s="614"/>
    </row>
    <row r="34" spans="1:22" ht="15.75">
      <c r="B34" s="273"/>
      <c r="C34" s="273"/>
      <c r="D34" s="273"/>
      <c r="E34" s="273"/>
      <c r="F34" s="273"/>
      <c r="G34" s="273"/>
      <c r="H34" s="273"/>
      <c r="I34" s="273"/>
      <c r="J34" s="273"/>
      <c r="K34" s="273"/>
      <c r="L34" s="273"/>
      <c r="M34" s="273"/>
      <c r="N34" s="273"/>
      <c r="O34" s="273"/>
      <c r="P34" s="273"/>
      <c r="Q34" s="273"/>
      <c r="R34" s="273"/>
      <c r="S34" s="273"/>
      <c r="T34" s="273"/>
    </row>
    <row r="35" spans="1:22">
      <c r="A35" t="s">
        <v>902</v>
      </c>
    </row>
    <row r="36" spans="1:22">
      <c r="Q36" s="82"/>
      <c r="R36" s="353"/>
      <c r="S36" s="353"/>
      <c r="T36" s="13"/>
    </row>
    <row r="37" spans="1:22">
      <c r="Q37" s="82"/>
      <c r="R37" s="353"/>
      <c r="S37" s="353"/>
      <c r="T37" s="13"/>
    </row>
    <row r="38" spans="1:22" ht="409.5">
      <c r="F38" s="155" t="s">
        <v>886</v>
      </c>
      <c r="R38" s="353"/>
      <c r="S38" s="353"/>
    </row>
    <row r="39" spans="1:22">
      <c r="Q39" s="82"/>
      <c r="R39" s="353"/>
      <c r="S39" s="353"/>
      <c r="T39" s="13"/>
    </row>
    <row r="42" spans="1:22">
      <c r="Q42" s="82"/>
      <c r="R42" s="353"/>
      <c r="S42" s="353"/>
      <c r="T42" s="447"/>
      <c r="U42" s="447"/>
      <c r="V42" s="13"/>
    </row>
    <row r="43" spans="1:22">
      <c r="Q43" s="82"/>
      <c r="R43" s="353"/>
      <c r="S43" s="353"/>
      <c r="T43" s="447"/>
      <c r="U43" s="447"/>
      <c r="V43" s="13"/>
    </row>
    <row r="48" spans="1:22">
      <c r="Q48" s="82"/>
      <c r="R48" s="353"/>
      <c r="S48" s="353"/>
      <c r="T48" s="13"/>
    </row>
    <row r="50" spans="17:20">
      <c r="Q50" s="82"/>
      <c r="R50" s="353"/>
      <c r="S50" s="353"/>
      <c r="T50" s="13"/>
    </row>
    <row r="85" spans="6:6" ht="409.5">
      <c r="F85" s="155" t="s">
        <v>886</v>
      </c>
    </row>
    <row r="133" spans="6:6" ht="409.5">
      <c r="F133" s="155" t="s">
        <v>886</v>
      </c>
    </row>
    <row r="190" spans="6:6" ht="409.5">
      <c r="F190" s="155" t="s">
        <v>886</v>
      </c>
    </row>
  </sheetData>
  <mergeCells count="93">
    <mergeCell ref="M33:T33"/>
    <mergeCell ref="B28:T28"/>
    <mergeCell ref="B29:G31"/>
    <mergeCell ref="B32:G33"/>
    <mergeCell ref="H29:L29"/>
    <mergeCell ref="H32:L32"/>
    <mergeCell ref="H33:L33"/>
    <mergeCell ref="H30:I31"/>
    <mergeCell ref="J30:L30"/>
    <mergeCell ref="J31:L31"/>
    <mergeCell ref="M29:T29"/>
    <mergeCell ref="M30:T30"/>
    <mergeCell ref="M31:T31"/>
    <mergeCell ref="M32:T32"/>
    <mergeCell ref="B26:H26"/>
    <mergeCell ref="B27:H27"/>
    <mergeCell ref="I25:L27"/>
    <mergeCell ref="M26:T26"/>
    <mergeCell ref="M27:T27"/>
    <mergeCell ref="M25:T25"/>
    <mergeCell ref="B25:H25"/>
    <mergeCell ref="M20:T20"/>
    <mergeCell ref="M21:T21"/>
    <mergeCell ref="M22:T22"/>
    <mergeCell ref="M23:T23"/>
    <mergeCell ref="M24:T24"/>
    <mergeCell ref="B20:H20"/>
    <mergeCell ref="B21:H21"/>
    <mergeCell ref="B22:H22"/>
    <mergeCell ref="B23:H23"/>
    <mergeCell ref="B24:H24"/>
    <mergeCell ref="I20:L20"/>
    <mergeCell ref="I21:L21"/>
    <mergeCell ref="I22:L22"/>
    <mergeCell ref="I23:L23"/>
    <mergeCell ref="I24:L24"/>
    <mergeCell ref="B19:H19"/>
    <mergeCell ref="M19:T19"/>
    <mergeCell ref="B18:H18"/>
    <mergeCell ref="M18:T18"/>
    <mergeCell ref="J18:L18"/>
    <mergeCell ref="J19:L19"/>
    <mergeCell ref="M15:T15"/>
    <mergeCell ref="M16:T16"/>
    <mergeCell ref="B14:H14"/>
    <mergeCell ref="B15:H15"/>
    <mergeCell ref="B16:H16"/>
    <mergeCell ref="I15:L15"/>
    <mergeCell ref="I16:L16"/>
    <mergeCell ref="M14:T14"/>
    <mergeCell ref="R1:V6"/>
    <mergeCell ref="F6:Q6"/>
    <mergeCell ref="B10:T10"/>
    <mergeCell ref="B11:H11"/>
    <mergeCell ref="I11:L11"/>
    <mergeCell ref="M11:T11"/>
    <mergeCell ref="F1:Q5"/>
    <mergeCell ref="A7:E7"/>
    <mergeCell ref="G7:H7"/>
    <mergeCell ref="I7:J7"/>
    <mergeCell ref="K7:L7"/>
    <mergeCell ref="N7:O7"/>
    <mergeCell ref="A1:E6"/>
    <mergeCell ref="U7:V8"/>
    <mergeCell ref="A8:E8"/>
    <mergeCell ref="G8:H8"/>
    <mergeCell ref="R50:S50"/>
    <mergeCell ref="B34:T34"/>
    <mergeCell ref="R36:S36"/>
    <mergeCell ref="R37:S37"/>
    <mergeCell ref="R39:S39"/>
    <mergeCell ref="R48:S48"/>
    <mergeCell ref="R38:S38"/>
    <mergeCell ref="R42:S42"/>
    <mergeCell ref="R43:S43"/>
    <mergeCell ref="T42:U42"/>
    <mergeCell ref="T43:U43"/>
    <mergeCell ref="I8:J8"/>
    <mergeCell ref="K8:L8"/>
    <mergeCell ref="N8:O8"/>
    <mergeCell ref="B17:H17"/>
    <mergeCell ref="I17:L17"/>
    <mergeCell ref="M17:T17"/>
    <mergeCell ref="R7:R8"/>
    <mergeCell ref="S7:S8"/>
    <mergeCell ref="T7:T8"/>
    <mergeCell ref="B13:H13"/>
    <mergeCell ref="M12:T12"/>
    <mergeCell ref="M13:T13"/>
    <mergeCell ref="B12:H12"/>
    <mergeCell ref="I12:L12"/>
    <mergeCell ref="I13:L13"/>
    <mergeCell ref="I14:L14"/>
  </mergeCells>
  <phoneticPr fontId="43" type="noConversion"/>
  <printOptions horizontalCentered="1"/>
  <pageMargins left="9.8425196850393706E-2" right="9.8425196850393706E-2" top="0.19685039370078741" bottom="0" header="0.11811023622047245" footer="0.11811023622047245"/>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C489"/>
  <sheetViews>
    <sheetView topLeftCell="A475" zoomScaleNormal="100" workbookViewId="0">
      <selection activeCell="B171" sqref="B171:T174"/>
    </sheetView>
  </sheetViews>
  <sheetFormatPr defaultRowHeight="14.25"/>
  <cols>
    <col min="1" max="22" width="4.375" customWidth="1"/>
  </cols>
  <sheetData>
    <row r="1" spans="1:22" ht="15" customHeight="1">
      <c r="A1" s="396"/>
      <c r="B1" s="396"/>
      <c r="C1" s="396"/>
      <c r="D1" s="396"/>
      <c r="E1" s="396"/>
      <c r="F1" s="394" t="s">
        <v>0</v>
      </c>
      <c r="G1" s="394"/>
      <c r="H1" s="394"/>
      <c r="I1" s="394"/>
      <c r="J1" s="394"/>
      <c r="K1" s="394"/>
      <c r="L1" s="394"/>
      <c r="M1" s="394"/>
      <c r="N1" s="394"/>
      <c r="O1" s="394"/>
      <c r="P1" s="394"/>
      <c r="Q1" s="394"/>
      <c r="R1" s="396"/>
      <c r="S1" s="396"/>
      <c r="T1" s="396"/>
      <c r="U1" s="396"/>
      <c r="V1" s="396"/>
    </row>
    <row r="2" spans="1:22" ht="15" customHeight="1">
      <c r="A2" s="396"/>
      <c r="B2" s="396"/>
      <c r="C2" s="396"/>
      <c r="D2" s="396"/>
      <c r="E2" s="396"/>
      <c r="F2" s="394"/>
      <c r="G2" s="394"/>
      <c r="H2" s="394"/>
      <c r="I2" s="394"/>
      <c r="J2" s="394"/>
      <c r="K2" s="394"/>
      <c r="L2" s="394"/>
      <c r="M2" s="394"/>
      <c r="N2" s="394"/>
      <c r="O2" s="394"/>
      <c r="P2" s="394"/>
      <c r="Q2" s="394"/>
      <c r="R2" s="396"/>
      <c r="S2" s="396"/>
      <c r="T2" s="396"/>
      <c r="U2" s="396"/>
      <c r="V2" s="396"/>
    </row>
    <row r="3" spans="1:22" ht="15" customHeight="1">
      <c r="A3" s="396"/>
      <c r="B3" s="396"/>
      <c r="C3" s="396"/>
      <c r="D3" s="396"/>
      <c r="E3" s="396"/>
      <c r="F3" s="394"/>
      <c r="G3" s="394"/>
      <c r="H3" s="394"/>
      <c r="I3" s="394"/>
      <c r="J3" s="394"/>
      <c r="K3" s="394"/>
      <c r="L3" s="394"/>
      <c r="M3" s="394"/>
      <c r="N3" s="394"/>
      <c r="O3" s="394"/>
      <c r="P3" s="394"/>
      <c r="Q3" s="394"/>
      <c r="R3" s="396"/>
      <c r="S3" s="396"/>
      <c r="T3" s="396"/>
      <c r="U3" s="396"/>
      <c r="V3" s="396"/>
    </row>
    <row r="4" spans="1:22" ht="15" customHeight="1">
      <c r="A4" s="396"/>
      <c r="B4" s="396"/>
      <c r="C4" s="396"/>
      <c r="D4" s="396"/>
      <c r="E4" s="396"/>
      <c r="F4" s="394"/>
      <c r="G4" s="394"/>
      <c r="H4" s="394"/>
      <c r="I4" s="394"/>
      <c r="J4" s="394"/>
      <c r="K4" s="394"/>
      <c r="L4" s="394"/>
      <c r="M4" s="394"/>
      <c r="N4" s="394"/>
      <c r="O4" s="394"/>
      <c r="P4" s="394"/>
      <c r="Q4" s="394"/>
      <c r="R4" s="396"/>
      <c r="S4" s="396"/>
      <c r="T4" s="396"/>
      <c r="U4" s="396"/>
      <c r="V4" s="396"/>
    </row>
    <row r="5" spans="1:22" ht="15" customHeight="1">
      <c r="A5" s="396"/>
      <c r="B5" s="396"/>
      <c r="C5" s="396"/>
      <c r="D5" s="396"/>
      <c r="E5" s="396"/>
      <c r="F5" s="402" t="s">
        <v>209</v>
      </c>
      <c r="G5" s="402"/>
      <c r="H5" s="402"/>
      <c r="I5" s="402"/>
      <c r="J5" s="402"/>
      <c r="K5" s="402"/>
      <c r="L5" s="402"/>
      <c r="M5" s="402"/>
      <c r="N5" s="402"/>
      <c r="O5" s="402"/>
      <c r="P5" s="402"/>
      <c r="Q5" s="402"/>
      <c r="R5" s="396"/>
      <c r="S5" s="396"/>
      <c r="T5" s="396"/>
      <c r="U5" s="396"/>
      <c r="V5" s="396"/>
    </row>
    <row r="6" spans="1:22">
      <c r="A6" s="402" t="e">
        <f>'Seismic design'!A6:E7</f>
        <v>#REF!</v>
      </c>
      <c r="B6" s="402"/>
      <c r="C6" s="402"/>
      <c r="D6" s="402"/>
      <c r="E6" s="402"/>
      <c r="F6" s="490" t="e">
        <f>'Seismic design'!F6:Q7</f>
        <v>#REF!</v>
      </c>
      <c r="G6" s="490"/>
      <c r="H6" s="490"/>
      <c r="I6" s="490"/>
      <c r="J6" s="490"/>
      <c r="K6" s="490"/>
      <c r="L6" s="490"/>
      <c r="M6" s="490"/>
      <c r="N6" s="490"/>
      <c r="O6" s="490"/>
      <c r="P6" s="490"/>
      <c r="Q6" s="490"/>
      <c r="R6" s="402" t="s">
        <v>201</v>
      </c>
      <c r="S6" s="402"/>
      <c r="T6" s="402"/>
      <c r="U6" s="402"/>
      <c r="V6" s="402"/>
    </row>
    <row r="7" spans="1:22">
      <c r="A7" s="402"/>
      <c r="B7" s="402"/>
      <c r="C7" s="402"/>
      <c r="D7" s="402"/>
      <c r="E7" s="402"/>
      <c r="F7" s="490"/>
      <c r="G7" s="490"/>
      <c r="H7" s="490"/>
      <c r="I7" s="490"/>
      <c r="J7" s="490"/>
      <c r="K7" s="490"/>
      <c r="L7" s="490"/>
      <c r="M7" s="490"/>
      <c r="N7" s="490"/>
      <c r="O7" s="490"/>
      <c r="P7" s="490"/>
      <c r="Q7" s="490"/>
      <c r="R7" s="402"/>
      <c r="S7" s="402"/>
      <c r="T7" s="402"/>
      <c r="U7" s="402"/>
      <c r="V7" s="402"/>
    </row>
    <row r="9" spans="1:22">
      <c r="B9" s="514" t="s">
        <v>106</v>
      </c>
      <c r="C9" s="514"/>
      <c r="D9" s="514"/>
      <c r="E9" s="514"/>
      <c r="F9" s="514"/>
      <c r="G9" s="514"/>
      <c r="H9" s="514"/>
      <c r="I9" s="514"/>
      <c r="J9" s="514"/>
    </row>
    <row r="10" spans="1:22">
      <c r="B10" s="514"/>
      <c r="C10" s="514"/>
      <c r="D10" s="514"/>
      <c r="E10" s="514"/>
      <c r="F10" s="514"/>
      <c r="G10" s="514"/>
      <c r="H10" s="514"/>
      <c r="I10" s="514"/>
      <c r="J10" s="514"/>
    </row>
    <row r="11" spans="1:22">
      <c r="B11" s="399" t="s">
        <v>107</v>
      </c>
      <c r="C11" s="399"/>
      <c r="D11" s="399"/>
      <c r="E11" s="399"/>
      <c r="F11" s="399"/>
      <c r="G11" s="399"/>
      <c r="H11" s="399"/>
      <c r="I11" s="399"/>
      <c r="J11" s="399"/>
      <c r="K11" s="399"/>
      <c r="L11" s="399"/>
      <c r="M11" s="399"/>
      <c r="N11" s="399"/>
      <c r="O11" s="399"/>
      <c r="P11" s="399"/>
      <c r="Q11" s="399"/>
      <c r="R11" s="399"/>
      <c r="S11" s="399"/>
      <c r="T11" s="399"/>
      <c r="U11" s="399"/>
    </row>
    <row r="12" spans="1:22">
      <c r="B12" s="399"/>
      <c r="C12" s="399"/>
      <c r="D12" s="399"/>
      <c r="E12" s="399"/>
      <c r="F12" s="399"/>
      <c r="G12" s="399"/>
      <c r="H12" s="399"/>
      <c r="I12" s="399"/>
      <c r="J12" s="399"/>
      <c r="K12" s="399"/>
      <c r="L12" s="399"/>
      <c r="M12" s="399"/>
      <c r="N12" s="399"/>
      <c r="O12" s="399"/>
      <c r="P12" s="399"/>
      <c r="Q12" s="399"/>
      <c r="R12" s="399"/>
      <c r="S12" s="399"/>
      <c r="T12" s="399"/>
      <c r="U12" s="399"/>
    </row>
    <row r="13" spans="1:22">
      <c r="B13" s="399"/>
      <c r="C13" s="399"/>
      <c r="D13" s="399"/>
      <c r="E13" s="399"/>
      <c r="F13" s="399"/>
      <c r="G13" s="399"/>
      <c r="H13" s="399"/>
      <c r="I13" s="399"/>
      <c r="J13" s="399"/>
      <c r="K13" s="399"/>
      <c r="L13" s="399"/>
      <c r="M13" s="399"/>
      <c r="N13" s="399"/>
      <c r="O13" s="399"/>
      <c r="P13" s="399"/>
      <c r="Q13" s="399"/>
      <c r="R13" s="399"/>
      <c r="S13" s="399"/>
      <c r="T13" s="399"/>
      <c r="U13" s="399"/>
    </row>
    <row r="14" spans="1:22">
      <c r="B14" s="353"/>
      <c r="C14" s="353"/>
      <c r="D14" s="353"/>
      <c r="E14" s="353"/>
      <c r="F14" s="353"/>
      <c r="G14" s="353"/>
      <c r="H14" s="353"/>
      <c r="I14" s="353"/>
      <c r="J14" s="353"/>
      <c r="K14" s="353"/>
      <c r="L14" s="353"/>
      <c r="M14" s="353"/>
      <c r="N14" s="353"/>
      <c r="O14" s="353"/>
      <c r="P14" s="353"/>
      <c r="Q14" s="353"/>
      <c r="R14" s="353"/>
      <c r="S14" s="353"/>
      <c r="T14" s="353"/>
      <c r="U14" s="353"/>
    </row>
    <row r="15" spans="1:22">
      <c r="B15" s="353"/>
      <c r="C15" s="353"/>
      <c r="D15" s="353"/>
      <c r="E15" s="353"/>
      <c r="F15" s="353"/>
      <c r="G15" s="353"/>
      <c r="H15" s="353"/>
      <c r="I15" s="353"/>
      <c r="J15" s="353"/>
      <c r="K15" s="353"/>
      <c r="L15" s="353"/>
      <c r="M15" s="353"/>
      <c r="N15" s="353"/>
      <c r="O15" s="353"/>
      <c r="P15" s="353"/>
      <c r="Q15" s="353"/>
      <c r="R15" s="353"/>
      <c r="S15" s="353"/>
      <c r="T15" s="353"/>
      <c r="U15" s="353"/>
    </row>
    <row r="16" spans="1:22">
      <c r="B16" s="353"/>
      <c r="C16" s="353"/>
      <c r="D16" s="353"/>
      <c r="E16" s="353"/>
      <c r="F16" s="353"/>
      <c r="G16" s="353"/>
      <c r="H16" s="353"/>
      <c r="I16" s="353"/>
      <c r="J16" s="353"/>
      <c r="K16" s="353"/>
      <c r="L16" s="353"/>
      <c r="M16" s="353"/>
      <c r="N16" s="353"/>
      <c r="O16" s="353"/>
      <c r="P16" s="353"/>
      <c r="Q16" s="353"/>
      <c r="R16" s="353"/>
      <c r="S16" s="353"/>
      <c r="T16" s="353"/>
      <c r="U16" s="353"/>
    </row>
    <row r="17" spans="2:21">
      <c r="B17" s="353"/>
      <c r="C17" s="353"/>
      <c r="D17" s="353"/>
      <c r="E17" s="353"/>
      <c r="F17" s="353"/>
      <c r="G17" s="353"/>
      <c r="H17" s="353"/>
      <c r="I17" s="353"/>
      <c r="J17" s="353"/>
      <c r="K17" s="353"/>
      <c r="L17" s="353"/>
      <c r="M17" s="353"/>
      <c r="N17" s="353"/>
      <c r="O17" s="353"/>
      <c r="P17" s="353"/>
      <c r="Q17" s="353"/>
      <c r="R17" s="353"/>
      <c r="S17" s="353"/>
      <c r="T17" s="353"/>
      <c r="U17" s="353"/>
    </row>
    <row r="18" spans="2:21">
      <c r="B18" s="353"/>
      <c r="C18" s="353"/>
      <c r="D18" s="353"/>
      <c r="E18" s="353"/>
      <c r="F18" s="353"/>
      <c r="G18" s="353"/>
      <c r="H18" s="353"/>
      <c r="I18" s="353"/>
      <c r="J18" s="353"/>
      <c r="K18" s="353"/>
      <c r="L18" s="353"/>
      <c r="M18" s="353"/>
      <c r="N18" s="353"/>
      <c r="O18" s="353"/>
      <c r="P18" s="353"/>
      <c r="Q18" s="353"/>
      <c r="R18" s="353"/>
      <c r="S18" s="353"/>
      <c r="T18" s="353"/>
      <c r="U18" s="353"/>
    </row>
    <row r="19" spans="2:21">
      <c r="B19" s="353"/>
      <c r="C19" s="353"/>
      <c r="D19" s="353"/>
      <c r="E19" s="353"/>
      <c r="F19" s="353"/>
      <c r="G19" s="353"/>
      <c r="H19" s="353"/>
      <c r="I19" s="353"/>
      <c r="J19" s="353"/>
      <c r="K19" s="353"/>
      <c r="L19" s="353"/>
      <c r="M19" s="353"/>
      <c r="N19" s="353"/>
      <c r="O19" s="353"/>
      <c r="P19" s="353"/>
      <c r="Q19" s="353"/>
      <c r="R19" s="353"/>
      <c r="S19" s="353"/>
      <c r="T19" s="353"/>
      <c r="U19" s="353"/>
    </row>
    <row r="20" spans="2:21">
      <c r="B20" s="353"/>
      <c r="C20" s="353"/>
      <c r="D20" s="353"/>
      <c r="E20" s="353"/>
      <c r="F20" s="353"/>
      <c r="G20" s="353"/>
      <c r="H20" s="353"/>
      <c r="I20" s="353"/>
      <c r="J20" s="353"/>
      <c r="K20" s="353"/>
      <c r="L20" s="353"/>
      <c r="M20" s="353"/>
      <c r="N20" s="353"/>
      <c r="O20" s="353"/>
      <c r="P20" s="353"/>
      <c r="Q20" s="353"/>
      <c r="R20" s="353"/>
      <c r="S20" s="353"/>
      <c r="T20" s="353"/>
      <c r="U20" s="353"/>
    </row>
    <row r="21" spans="2:21">
      <c r="B21" s="353"/>
      <c r="C21" s="353"/>
      <c r="D21" s="353"/>
      <c r="E21" s="353"/>
      <c r="F21" s="353"/>
      <c r="G21" s="353"/>
      <c r="H21" s="353"/>
      <c r="I21" s="353"/>
      <c r="J21" s="353"/>
      <c r="K21" s="353"/>
      <c r="L21" s="353"/>
      <c r="M21" s="353"/>
      <c r="N21" s="353"/>
      <c r="O21" s="353"/>
      <c r="P21" s="353"/>
      <c r="Q21" s="353"/>
      <c r="R21" s="353"/>
      <c r="S21" s="353"/>
      <c r="T21" s="353"/>
      <c r="U21" s="353"/>
    </row>
    <row r="22" spans="2:21">
      <c r="B22" s="353"/>
      <c r="C22" s="353"/>
      <c r="D22" s="353"/>
      <c r="E22" s="353"/>
      <c r="F22" s="353"/>
      <c r="G22" s="353"/>
      <c r="H22" s="353"/>
      <c r="I22" s="353"/>
      <c r="J22" s="353"/>
      <c r="K22" s="353"/>
      <c r="L22" s="353"/>
      <c r="M22" s="353"/>
      <c r="N22" s="353"/>
      <c r="O22" s="353"/>
      <c r="P22" s="353"/>
      <c r="Q22" s="353"/>
      <c r="R22" s="353"/>
      <c r="S22" s="353"/>
      <c r="T22" s="353"/>
      <c r="U22" s="353"/>
    </row>
    <row r="23" spans="2:21">
      <c r="B23" s="353"/>
      <c r="C23" s="353"/>
      <c r="D23" s="353"/>
      <c r="E23" s="353"/>
      <c r="F23" s="353"/>
      <c r="G23" s="353"/>
      <c r="H23" s="353"/>
      <c r="I23" s="353"/>
      <c r="J23" s="353"/>
      <c r="K23" s="353"/>
      <c r="L23" s="353"/>
      <c r="M23" s="353"/>
      <c r="N23" s="353"/>
      <c r="O23" s="353"/>
      <c r="P23" s="353"/>
      <c r="Q23" s="353"/>
      <c r="R23" s="353"/>
      <c r="S23" s="353"/>
      <c r="T23" s="353"/>
      <c r="U23" s="353"/>
    </row>
    <row r="24" spans="2:21">
      <c r="B24" s="353"/>
      <c r="C24" s="353"/>
      <c r="D24" s="353"/>
      <c r="E24" s="353"/>
      <c r="F24" s="353"/>
      <c r="G24" s="353"/>
      <c r="H24" s="353"/>
      <c r="I24" s="353"/>
      <c r="J24" s="353"/>
      <c r="K24" s="353"/>
      <c r="L24" s="353"/>
      <c r="M24" s="353"/>
      <c r="N24" s="353"/>
      <c r="O24" s="353"/>
      <c r="P24" s="353"/>
      <c r="Q24" s="353"/>
      <c r="R24" s="353"/>
      <c r="S24" s="353"/>
      <c r="T24" s="353"/>
      <c r="U24" s="353"/>
    </row>
    <row r="25" spans="2:21">
      <c r="B25" s="353"/>
      <c r="C25" s="353"/>
      <c r="D25" s="353"/>
      <c r="E25" s="353"/>
      <c r="F25" s="353"/>
      <c r="G25" s="353"/>
      <c r="H25" s="353"/>
      <c r="I25" s="353"/>
      <c r="J25" s="353"/>
    </row>
    <row r="26" spans="2:21">
      <c r="B26" s="353"/>
      <c r="C26" s="353"/>
      <c r="D26" s="353"/>
      <c r="E26" s="353"/>
      <c r="F26" s="353"/>
      <c r="G26" s="353"/>
      <c r="H26" s="353"/>
      <c r="I26" s="353"/>
      <c r="J26" s="353"/>
    </row>
    <row r="27" spans="2:21">
      <c r="B27" s="353"/>
      <c r="C27" s="353"/>
      <c r="D27" s="353"/>
      <c r="E27" s="353"/>
      <c r="F27" s="353"/>
      <c r="G27" s="353"/>
      <c r="H27" s="353"/>
      <c r="I27" s="353"/>
      <c r="J27" s="353"/>
    </row>
    <row r="28" spans="2:21">
      <c r="B28" s="353"/>
      <c r="C28" s="353"/>
      <c r="D28" s="353"/>
      <c r="E28" s="353"/>
      <c r="F28" s="353"/>
      <c r="G28" s="353"/>
      <c r="H28" s="353"/>
      <c r="I28" s="353"/>
      <c r="J28" s="353"/>
    </row>
    <row r="29" spans="2:21">
      <c r="B29" s="353"/>
      <c r="C29" s="353"/>
      <c r="D29" s="353"/>
      <c r="E29" s="353"/>
      <c r="F29" s="353"/>
      <c r="G29" s="353"/>
      <c r="H29" s="353"/>
      <c r="I29" s="353"/>
      <c r="J29" s="353"/>
    </row>
    <row r="30" spans="2:21">
      <c r="B30" s="353"/>
      <c r="C30" s="353"/>
      <c r="D30" s="353"/>
      <c r="E30" s="353"/>
      <c r="F30" s="353"/>
      <c r="G30" s="353"/>
      <c r="H30" s="353"/>
      <c r="I30" s="353"/>
      <c r="J30" s="353"/>
    </row>
    <row r="31" spans="2:21">
      <c r="B31" s="353"/>
      <c r="C31" s="353"/>
      <c r="D31" s="353"/>
      <c r="E31" s="353"/>
      <c r="F31" s="353"/>
      <c r="G31" s="353"/>
      <c r="H31" s="353"/>
      <c r="I31" s="353"/>
      <c r="J31" s="353"/>
    </row>
    <row r="32" spans="2:21">
      <c r="B32" s="353"/>
      <c r="C32" s="353"/>
      <c r="D32" s="353"/>
      <c r="E32" s="353"/>
      <c r="F32" s="353"/>
      <c r="G32" s="353"/>
      <c r="H32" s="353"/>
      <c r="I32" s="353"/>
      <c r="J32" s="353"/>
    </row>
    <row r="33" spans="1:22">
      <c r="B33" s="399" t="s">
        <v>159</v>
      </c>
      <c r="C33" s="400"/>
      <c r="D33" s="400"/>
      <c r="E33" s="400"/>
      <c r="F33" s="400"/>
      <c r="G33" s="400"/>
      <c r="H33" s="400"/>
      <c r="I33" s="400"/>
      <c r="J33" s="400"/>
      <c r="K33" s="400"/>
      <c r="L33" s="400"/>
      <c r="M33" s="400"/>
      <c r="N33" s="400"/>
      <c r="O33" s="400"/>
      <c r="P33" s="400"/>
      <c r="Q33" s="400"/>
      <c r="R33" s="400"/>
      <c r="S33" s="400"/>
      <c r="T33" s="400"/>
      <c r="U33" s="400"/>
    </row>
    <row r="34" spans="1:22">
      <c r="B34" s="400"/>
      <c r="C34" s="400"/>
      <c r="D34" s="400"/>
      <c r="E34" s="400"/>
      <c r="F34" s="400"/>
      <c r="G34" s="400"/>
      <c r="H34" s="400"/>
      <c r="I34" s="400"/>
      <c r="J34" s="400"/>
      <c r="K34" s="400"/>
      <c r="L34" s="400"/>
      <c r="M34" s="400"/>
      <c r="N34" s="400"/>
      <c r="O34" s="400"/>
      <c r="P34" s="400"/>
      <c r="Q34" s="400"/>
      <c r="R34" s="400"/>
      <c r="S34" s="400"/>
      <c r="T34" s="400"/>
      <c r="U34" s="400"/>
    </row>
    <row r="35" spans="1:22">
      <c r="B35" s="400"/>
      <c r="C35" s="400"/>
      <c r="D35" s="400"/>
      <c r="E35" s="400"/>
      <c r="F35" s="400"/>
      <c r="G35" s="400"/>
      <c r="H35" s="400"/>
      <c r="I35" s="400"/>
      <c r="J35" s="400"/>
      <c r="K35" s="400"/>
      <c r="L35" s="400"/>
      <c r="M35" s="400"/>
      <c r="N35" s="400"/>
      <c r="O35" s="400"/>
      <c r="P35" s="400"/>
      <c r="Q35" s="400"/>
      <c r="R35" s="400"/>
      <c r="S35" s="400"/>
      <c r="T35" s="400"/>
      <c r="U35" s="400"/>
    </row>
    <row r="36" spans="1:22">
      <c r="B36" s="400"/>
      <c r="C36" s="400"/>
      <c r="D36" s="400"/>
      <c r="E36" s="400"/>
      <c r="F36" s="400"/>
      <c r="G36" s="400"/>
      <c r="H36" s="400"/>
      <c r="I36" s="400"/>
      <c r="J36" s="400"/>
      <c r="K36" s="400"/>
      <c r="L36" s="400"/>
      <c r="M36" s="400"/>
      <c r="N36" s="400"/>
      <c r="O36" s="400"/>
      <c r="P36" s="400"/>
      <c r="Q36" s="400"/>
      <c r="R36" s="400"/>
      <c r="S36" s="400"/>
      <c r="T36" s="400"/>
      <c r="U36" s="400"/>
    </row>
    <row r="37" spans="1:22">
      <c r="B37" s="400"/>
      <c r="C37" s="400"/>
      <c r="D37" s="400"/>
      <c r="E37" s="400"/>
      <c r="F37" s="400"/>
      <c r="G37" s="400"/>
      <c r="H37" s="400"/>
      <c r="I37" s="400"/>
      <c r="J37" s="400"/>
      <c r="K37" s="400"/>
      <c r="L37" s="400"/>
      <c r="M37" s="400"/>
      <c r="N37" s="400"/>
      <c r="O37" s="400"/>
      <c r="P37" s="400"/>
      <c r="Q37" s="400"/>
      <c r="R37" s="400"/>
      <c r="S37" s="400"/>
      <c r="T37" s="400"/>
      <c r="U37" s="400"/>
    </row>
    <row r="38" spans="1:22">
      <c r="B38" s="400"/>
      <c r="C38" s="400"/>
      <c r="D38" s="400"/>
      <c r="E38" s="400"/>
      <c r="F38" s="400"/>
      <c r="G38" s="400"/>
      <c r="H38" s="400"/>
      <c r="I38" s="400"/>
      <c r="J38" s="400"/>
      <c r="K38" s="400"/>
      <c r="L38" s="400"/>
      <c r="M38" s="400"/>
      <c r="N38" s="400"/>
      <c r="O38" s="400"/>
      <c r="P38" s="400"/>
      <c r="Q38" s="400"/>
      <c r="R38" s="400"/>
      <c r="S38" s="400"/>
      <c r="T38" s="400"/>
      <c r="U38" s="400"/>
    </row>
    <row r="39" spans="1:22">
      <c r="B39" s="400"/>
      <c r="C39" s="400"/>
      <c r="D39" s="400"/>
      <c r="E39" s="400"/>
      <c r="F39" s="400"/>
      <c r="G39" s="400"/>
      <c r="H39" s="400"/>
      <c r="I39" s="400"/>
      <c r="J39" s="400"/>
      <c r="K39" s="400"/>
      <c r="L39" s="400"/>
      <c r="M39" s="400"/>
      <c r="N39" s="400"/>
      <c r="O39" s="400"/>
      <c r="P39" s="400"/>
      <c r="Q39" s="400"/>
      <c r="R39" s="400"/>
      <c r="S39" s="400"/>
      <c r="T39" s="400"/>
      <c r="U39" s="400"/>
    </row>
    <row r="40" spans="1:22">
      <c r="B40" s="400"/>
      <c r="C40" s="400"/>
      <c r="D40" s="400"/>
      <c r="E40" s="400"/>
      <c r="F40" s="400"/>
      <c r="G40" s="400"/>
      <c r="H40" s="400"/>
      <c r="I40" s="400"/>
      <c r="J40" s="400"/>
      <c r="K40" s="400"/>
      <c r="L40" s="400"/>
      <c r="M40" s="400"/>
      <c r="N40" s="400"/>
      <c r="O40" s="400"/>
      <c r="P40" s="400"/>
      <c r="Q40" s="400"/>
      <c r="R40" s="400"/>
      <c r="S40" s="400"/>
      <c r="T40" s="400"/>
      <c r="U40" s="400"/>
    </row>
    <row r="41" spans="1:22">
      <c r="B41" s="400"/>
      <c r="C41" s="400"/>
      <c r="D41" s="400"/>
      <c r="E41" s="400"/>
      <c r="F41" s="400"/>
      <c r="G41" s="400"/>
      <c r="H41" s="400"/>
      <c r="I41" s="400"/>
      <c r="J41" s="400"/>
      <c r="K41" s="400"/>
      <c r="L41" s="400"/>
      <c r="M41" s="400"/>
      <c r="N41" s="400"/>
      <c r="O41" s="400"/>
      <c r="P41" s="400"/>
      <c r="Q41" s="400"/>
      <c r="R41" s="400"/>
      <c r="S41" s="400"/>
      <c r="T41" s="400"/>
      <c r="U41" s="400"/>
    </row>
    <row r="42" spans="1:22">
      <c r="B42" s="400"/>
      <c r="C42" s="400"/>
      <c r="D42" s="400"/>
      <c r="E42" s="400"/>
      <c r="F42" s="400"/>
      <c r="G42" s="400"/>
      <c r="H42" s="400"/>
      <c r="I42" s="400"/>
      <c r="J42" s="400"/>
      <c r="K42" s="400"/>
      <c r="L42" s="400"/>
      <c r="M42" s="400"/>
      <c r="N42" s="400"/>
      <c r="O42" s="400"/>
      <c r="P42" s="400"/>
      <c r="Q42" s="400"/>
      <c r="R42" s="400"/>
      <c r="S42" s="400"/>
      <c r="T42" s="400"/>
      <c r="U42" s="400"/>
    </row>
    <row r="43" spans="1:22">
      <c r="B43" s="400"/>
      <c r="C43" s="400"/>
      <c r="D43" s="400"/>
      <c r="E43" s="400"/>
      <c r="F43" s="400"/>
      <c r="G43" s="400"/>
      <c r="H43" s="400"/>
      <c r="I43" s="400"/>
      <c r="J43" s="400"/>
      <c r="K43" s="400"/>
      <c r="L43" s="400"/>
      <c r="M43" s="400"/>
      <c r="N43" s="400"/>
      <c r="O43" s="400"/>
      <c r="P43" s="400"/>
      <c r="Q43" s="400"/>
      <c r="R43" s="400"/>
      <c r="S43" s="400"/>
      <c r="T43" s="400"/>
      <c r="U43" s="400"/>
    </row>
    <row r="44" spans="1:22">
      <c r="B44" s="400"/>
      <c r="C44" s="400"/>
      <c r="D44" s="400"/>
      <c r="E44" s="400"/>
      <c r="F44" s="400"/>
      <c r="G44" s="400"/>
      <c r="H44" s="400"/>
      <c r="I44" s="400"/>
      <c r="J44" s="400"/>
      <c r="K44" s="400"/>
      <c r="L44" s="400"/>
      <c r="M44" s="400"/>
      <c r="N44" s="400"/>
      <c r="O44" s="400"/>
      <c r="P44" s="400"/>
      <c r="Q44" s="400"/>
      <c r="R44" s="400"/>
      <c r="S44" s="400"/>
      <c r="T44" s="400"/>
      <c r="U44" s="400"/>
    </row>
    <row r="45" spans="1:22">
      <c r="B45" s="400"/>
      <c r="C45" s="400"/>
      <c r="D45" s="400"/>
      <c r="E45" s="400"/>
      <c r="F45" s="400"/>
      <c r="G45" s="400"/>
      <c r="H45" s="400"/>
      <c r="I45" s="400"/>
      <c r="J45" s="400"/>
      <c r="K45" s="400"/>
      <c r="L45" s="400"/>
      <c r="M45" s="400"/>
      <c r="N45" s="400"/>
      <c r="O45" s="400"/>
      <c r="P45" s="400"/>
      <c r="Q45" s="400"/>
      <c r="R45" s="400"/>
      <c r="S45" s="400"/>
      <c r="T45" s="400"/>
      <c r="U45" s="400"/>
    </row>
    <row r="46" spans="1:22">
      <c r="B46" s="400"/>
      <c r="C46" s="400"/>
      <c r="D46" s="400"/>
      <c r="E46" s="400"/>
      <c r="F46" s="400"/>
      <c r="G46" s="400"/>
      <c r="H46" s="400"/>
      <c r="I46" s="400"/>
      <c r="J46" s="400"/>
      <c r="K46" s="400"/>
      <c r="L46" s="400"/>
      <c r="M46" s="400"/>
      <c r="N46" s="400"/>
      <c r="O46" s="400"/>
      <c r="P46" s="400"/>
      <c r="Q46" s="400"/>
      <c r="R46" s="400"/>
      <c r="S46" s="400"/>
      <c r="T46" s="400"/>
      <c r="U46" s="400"/>
    </row>
    <row r="48" spans="1:22" ht="15" customHeight="1">
      <c r="A48" s="396"/>
      <c r="B48" s="396"/>
      <c r="C48" s="396"/>
      <c r="D48" s="396"/>
      <c r="E48" s="396"/>
      <c r="F48" s="394" t="s">
        <v>0</v>
      </c>
      <c r="G48" s="394"/>
      <c r="H48" s="394"/>
      <c r="I48" s="394"/>
      <c r="J48" s="394"/>
      <c r="K48" s="394"/>
      <c r="L48" s="394"/>
      <c r="M48" s="394"/>
      <c r="N48" s="394"/>
      <c r="O48" s="394"/>
      <c r="P48" s="394"/>
      <c r="Q48" s="394"/>
      <c r="R48" s="396"/>
      <c r="S48" s="396"/>
      <c r="T48" s="396"/>
      <c r="U48" s="396"/>
      <c r="V48" s="396"/>
    </row>
    <row r="49" spans="1:27" ht="15" customHeight="1">
      <c r="A49" s="396"/>
      <c r="B49" s="396"/>
      <c r="C49" s="396"/>
      <c r="D49" s="396"/>
      <c r="E49" s="396"/>
      <c r="F49" s="394"/>
      <c r="G49" s="394"/>
      <c r="H49" s="394"/>
      <c r="I49" s="394"/>
      <c r="J49" s="394"/>
      <c r="K49" s="394"/>
      <c r="L49" s="394"/>
      <c r="M49" s="394"/>
      <c r="N49" s="394"/>
      <c r="O49" s="394"/>
      <c r="P49" s="394"/>
      <c r="Q49" s="394"/>
      <c r="R49" s="396"/>
      <c r="S49" s="396"/>
      <c r="T49" s="396"/>
      <c r="U49" s="396"/>
      <c r="V49" s="396"/>
    </row>
    <row r="50" spans="1:27" ht="15" customHeight="1">
      <c r="A50" s="396"/>
      <c r="B50" s="396"/>
      <c r="C50" s="396"/>
      <c r="D50" s="396"/>
      <c r="E50" s="396"/>
      <c r="F50" s="394"/>
      <c r="G50" s="394"/>
      <c r="H50" s="394"/>
      <c r="I50" s="394"/>
      <c r="J50" s="394"/>
      <c r="K50" s="394"/>
      <c r="L50" s="394"/>
      <c r="M50" s="394"/>
      <c r="N50" s="394"/>
      <c r="O50" s="394"/>
      <c r="P50" s="394"/>
      <c r="Q50" s="394"/>
      <c r="R50" s="396"/>
      <c r="S50" s="396"/>
      <c r="T50" s="396"/>
      <c r="U50" s="396"/>
      <c r="V50" s="396"/>
    </row>
    <row r="51" spans="1:27" ht="15" customHeight="1">
      <c r="A51" s="396"/>
      <c r="B51" s="396"/>
      <c r="C51" s="396"/>
      <c r="D51" s="396"/>
      <c r="E51" s="396"/>
      <c r="F51" s="394"/>
      <c r="G51" s="394"/>
      <c r="H51" s="394"/>
      <c r="I51" s="394"/>
      <c r="J51" s="394"/>
      <c r="K51" s="394"/>
      <c r="L51" s="394"/>
      <c r="M51" s="394"/>
      <c r="N51" s="394"/>
      <c r="O51" s="394"/>
      <c r="P51" s="394"/>
      <c r="Q51" s="394"/>
      <c r="R51" s="396"/>
      <c r="S51" s="396"/>
      <c r="T51" s="396"/>
      <c r="U51" s="396"/>
      <c r="V51" s="396"/>
    </row>
    <row r="52" spans="1:27" ht="15" customHeight="1">
      <c r="A52" s="396"/>
      <c r="B52" s="396"/>
      <c r="C52" s="396"/>
      <c r="D52" s="396"/>
      <c r="E52" s="396"/>
      <c r="F52" s="402" t="s">
        <v>209</v>
      </c>
      <c r="G52" s="402"/>
      <c r="H52" s="402"/>
      <c r="I52" s="402"/>
      <c r="J52" s="402"/>
      <c r="K52" s="402"/>
      <c r="L52" s="402"/>
      <c r="M52" s="402"/>
      <c r="N52" s="402"/>
      <c r="O52" s="402"/>
      <c r="P52" s="402"/>
      <c r="Q52" s="402"/>
      <c r="R52" s="396"/>
      <c r="S52" s="396"/>
      <c r="T52" s="396"/>
      <c r="U52" s="396"/>
      <c r="V52" s="396"/>
    </row>
    <row r="53" spans="1:27">
      <c r="A53" s="402" t="e">
        <f>A6</f>
        <v>#REF!</v>
      </c>
      <c r="B53" s="402"/>
      <c r="C53" s="402"/>
      <c r="D53" s="402"/>
      <c r="E53" s="402"/>
      <c r="F53" s="490" t="e">
        <f>F6</f>
        <v>#REF!</v>
      </c>
      <c r="G53" s="490"/>
      <c r="H53" s="490"/>
      <c r="I53" s="490"/>
      <c r="J53" s="490"/>
      <c r="K53" s="490"/>
      <c r="L53" s="490"/>
      <c r="M53" s="490"/>
      <c r="N53" s="490"/>
      <c r="O53" s="490"/>
      <c r="P53" s="490"/>
      <c r="Q53" s="490"/>
      <c r="R53" s="402" t="s">
        <v>200</v>
      </c>
      <c r="S53" s="402"/>
      <c r="T53" s="402"/>
      <c r="U53" s="402"/>
      <c r="V53" s="402"/>
    </row>
    <row r="54" spans="1:27">
      <c r="A54" s="402"/>
      <c r="B54" s="402"/>
      <c r="C54" s="402"/>
      <c r="D54" s="402"/>
      <c r="E54" s="402"/>
      <c r="F54" s="490"/>
      <c r="G54" s="490"/>
      <c r="H54" s="490"/>
      <c r="I54" s="490"/>
      <c r="J54" s="490"/>
      <c r="K54" s="490"/>
      <c r="L54" s="490"/>
      <c r="M54" s="490"/>
      <c r="N54" s="490"/>
      <c r="O54" s="490"/>
      <c r="P54" s="490"/>
      <c r="Q54" s="490"/>
      <c r="R54" s="402"/>
      <c r="S54" s="402"/>
      <c r="T54" s="402"/>
      <c r="U54" s="402"/>
      <c r="V54" s="402"/>
    </row>
    <row r="56" spans="1:27">
      <c r="B56" s="274"/>
      <c r="C56" s="274"/>
      <c r="D56" s="274">
        <f>('Seismic design'!Q122/(PI()*(COVER!H153)))+('Seismic design'!Q124)</f>
        <v>161608.7233524</v>
      </c>
      <c r="E56" s="274"/>
      <c r="F56" s="274"/>
      <c r="G56" s="274"/>
      <c r="H56" s="274"/>
      <c r="I56" s="274"/>
      <c r="J56" s="274"/>
      <c r="K56" s="3"/>
      <c r="L56" s="3"/>
      <c r="M56" s="3"/>
    </row>
    <row r="57" spans="1:27">
      <c r="B57" s="274"/>
      <c r="C57" s="274"/>
      <c r="D57" s="274"/>
      <c r="E57" s="274"/>
      <c r="F57" s="274"/>
      <c r="G57" s="274"/>
      <c r="H57" s="274"/>
      <c r="I57" s="274"/>
      <c r="J57" s="274"/>
      <c r="K57" s="3"/>
      <c r="L57" s="3"/>
      <c r="M57" s="3"/>
    </row>
    <row r="58" spans="1:27">
      <c r="B58" s="400" t="s">
        <v>276</v>
      </c>
      <c r="C58" s="400"/>
      <c r="D58" s="400"/>
      <c r="E58" s="353"/>
      <c r="F58" s="353"/>
      <c r="G58" s="274">
        <f>COVER!H165*(1-(0.4*0.367))</f>
        <v>0.85319999999999996</v>
      </c>
      <c r="H58" s="274"/>
      <c r="I58" s="274"/>
      <c r="J58" s="274"/>
    </row>
    <row r="59" spans="1:27">
      <c r="B59" s="400"/>
      <c r="C59" s="400"/>
      <c r="D59" s="400"/>
      <c r="E59" s="353"/>
      <c r="F59" s="353"/>
      <c r="G59" s="274"/>
      <c r="H59" s="274"/>
      <c r="I59" s="274"/>
      <c r="J59" s="274"/>
    </row>
    <row r="60" spans="1:27">
      <c r="B60" s="353"/>
      <c r="C60" s="353"/>
      <c r="D60" s="353"/>
      <c r="E60" s="353"/>
      <c r="F60" s="353"/>
      <c r="G60" s="353"/>
      <c r="H60" s="353"/>
      <c r="I60" s="353"/>
      <c r="J60" s="353"/>
      <c r="K60" s="353"/>
      <c r="L60" s="353"/>
      <c r="M60" s="274">
        <f>99*(8-1.5)*(205*(COVER!H154/1000)*(0.86))^0.5</f>
        <v>26335.193276535865</v>
      </c>
      <c r="N60" s="274"/>
      <c r="O60" s="274"/>
      <c r="P60" s="274"/>
      <c r="Q60" s="274" t="s">
        <v>275</v>
      </c>
      <c r="R60" s="274">
        <f>201.1*(COVER!H154/1000)*(COVER!H153/1000)*0.86</f>
        <v>21358.831000000002</v>
      </c>
      <c r="S60" s="274"/>
      <c r="T60" s="274"/>
    </row>
    <row r="61" spans="1:27">
      <c r="B61" s="353"/>
      <c r="C61" s="353"/>
      <c r="D61" s="353"/>
      <c r="E61" s="353"/>
      <c r="F61" s="353"/>
      <c r="G61" s="353"/>
      <c r="H61" s="353"/>
      <c r="I61" s="353"/>
      <c r="J61" s="353"/>
      <c r="K61" s="353"/>
      <c r="L61" s="353"/>
      <c r="M61" s="274"/>
      <c r="N61" s="274"/>
      <c r="O61" s="274"/>
      <c r="P61" s="274"/>
      <c r="Q61" s="274"/>
      <c r="R61" s="274"/>
      <c r="S61" s="274"/>
      <c r="T61" s="274"/>
      <c r="W61" s="353"/>
      <c r="X61" s="353"/>
      <c r="Y61" s="353"/>
      <c r="Z61" s="353"/>
      <c r="AA61" s="353"/>
    </row>
    <row r="62" spans="1:27" ht="15" customHeight="1">
      <c r="B62" s="652" t="s">
        <v>277</v>
      </c>
      <c r="C62" s="652"/>
      <c r="D62" s="652"/>
      <c r="E62" s="652"/>
      <c r="F62" s="652"/>
      <c r="G62" s="652">
        <f>0.035*(COVER!H154)</f>
        <v>332.50000000000006</v>
      </c>
      <c r="H62" s="652"/>
      <c r="I62" s="652"/>
      <c r="J62" s="652" t="s">
        <v>69</v>
      </c>
      <c r="K62" s="652" t="s">
        <v>278</v>
      </c>
      <c r="L62" s="652"/>
      <c r="M62" s="652"/>
      <c r="N62" s="652"/>
      <c r="O62" s="652"/>
      <c r="P62" s="652"/>
      <c r="Q62" s="652"/>
      <c r="R62" s="652"/>
      <c r="S62" s="652"/>
      <c r="T62" s="652"/>
      <c r="U62" s="652"/>
      <c r="V62" s="652"/>
    </row>
    <row r="63" spans="1:27">
      <c r="B63" s="652"/>
      <c r="C63" s="652"/>
      <c r="D63" s="652"/>
      <c r="E63" s="652"/>
      <c r="F63" s="652"/>
      <c r="G63" s="652"/>
      <c r="H63" s="652"/>
      <c r="I63" s="652"/>
      <c r="J63" s="652"/>
      <c r="K63" s="652"/>
      <c r="L63" s="652"/>
      <c r="M63" s="652"/>
      <c r="N63" s="652"/>
      <c r="O63" s="652"/>
      <c r="P63" s="652"/>
      <c r="Q63" s="652"/>
      <c r="R63" s="652"/>
      <c r="S63" s="652"/>
      <c r="T63" s="652"/>
      <c r="U63" s="652"/>
      <c r="V63" s="652"/>
    </row>
    <row r="64" spans="1:27">
      <c r="B64" s="652" t="s">
        <v>280</v>
      </c>
      <c r="C64" s="652"/>
      <c r="D64" s="652" t="s">
        <v>279</v>
      </c>
      <c r="E64" s="652"/>
      <c r="F64" s="652"/>
      <c r="G64" s="652"/>
      <c r="H64" s="652">
        <f>1-(0.4*0.376)</f>
        <v>0.84960000000000002</v>
      </c>
      <c r="I64" s="652"/>
      <c r="J64" s="652"/>
      <c r="K64" s="652" t="e">
        <f>('Seismic design'!D182)/('Anchorage ratio (J)'!H65*(('Anchorage ratio (J)'!D56*('Anchorage ratio (J)'!H64))+'Anchorage ratio (J)'!M60-'Anchorage ratio (J)'!H66))</f>
        <v>#REF!</v>
      </c>
      <c r="L64" s="652"/>
      <c r="M64" s="652"/>
      <c r="N64" s="652"/>
      <c r="O64" s="652"/>
      <c r="P64" s="652"/>
      <c r="Q64" s="652"/>
      <c r="R64" s="652"/>
      <c r="S64" s="6"/>
      <c r="T64" s="6"/>
      <c r="U64" s="6"/>
    </row>
    <row r="65" spans="2:24">
      <c r="B65" s="652"/>
      <c r="C65" s="652"/>
      <c r="D65" s="652"/>
      <c r="E65" s="652"/>
      <c r="F65" s="652"/>
      <c r="G65" s="6"/>
      <c r="H65" s="652">
        <f>(COVER!H153/1000)^2</f>
        <v>169</v>
      </c>
      <c r="I65" s="652"/>
      <c r="J65" s="652"/>
      <c r="K65" s="652"/>
      <c r="L65" s="652"/>
      <c r="M65" s="652"/>
      <c r="N65" s="652"/>
      <c r="O65" s="652"/>
      <c r="P65" s="652"/>
      <c r="Q65" s="652"/>
      <c r="R65" s="652"/>
      <c r="S65" s="6"/>
      <c r="T65" s="6"/>
      <c r="U65" s="6"/>
    </row>
    <row r="66" spans="2:24">
      <c r="B66" s="652"/>
      <c r="C66" s="652"/>
      <c r="D66" s="652"/>
      <c r="E66" s="652"/>
      <c r="F66" s="652"/>
      <c r="G66" s="6"/>
      <c r="H66" s="652">
        <v>0</v>
      </c>
      <c r="I66" s="652"/>
      <c r="J66" s="652"/>
      <c r="K66" s="652"/>
      <c r="L66" s="652"/>
      <c r="M66" s="652"/>
      <c r="N66" s="652"/>
      <c r="O66" s="652"/>
      <c r="P66" s="652"/>
      <c r="Q66" s="652"/>
      <c r="R66" s="652"/>
      <c r="S66" s="6"/>
      <c r="T66" s="6"/>
      <c r="U66" s="6"/>
    </row>
    <row r="67" spans="2:24">
      <c r="B67" s="652"/>
      <c r="C67" s="652"/>
      <c r="D67" s="652"/>
      <c r="E67" s="652"/>
      <c r="F67" s="652"/>
      <c r="G67" s="652"/>
      <c r="H67" s="652"/>
      <c r="I67" s="652"/>
      <c r="J67" s="652"/>
      <c r="K67" s="652"/>
      <c r="L67" s="652"/>
      <c r="M67" s="652"/>
      <c r="N67" s="652"/>
      <c r="O67" s="652"/>
      <c r="P67" s="652"/>
      <c r="Q67" s="652"/>
      <c r="R67" s="652"/>
      <c r="S67" s="652"/>
      <c r="T67" s="652"/>
      <c r="U67" s="652"/>
      <c r="V67" s="652"/>
      <c r="X67" s="12"/>
    </row>
    <row r="68" spans="2:24">
      <c r="B68" s="652"/>
      <c r="C68" s="652"/>
      <c r="D68" s="652"/>
      <c r="E68" s="652"/>
      <c r="F68" s="652"/>
      <c r="G68" s="652"/>
      <c r="H68" s="652"/>
      <c r="I68" s="652"/>
      <c r="J68" s="652"/>
      <c r="K68" s="652"/>
      <c r="L68" s="652"/>
      <c r="M68" s="652"/>
      <c r="N68" s="652"/>
      <c r="O68" s="652"/>
      <c r="P68" s="652"/>
      <c r="Q68" s="652"/>
      <c r="R68" s="652"/>
      <c r="S68" s="652"/>
      <c r="T68" s="652"/>
      <c r="U68" s="652"/>
      <c r="V68" s="652"/>
      <c r="X68" s="11"/>
    </row>
    <row r="69" spans="2:24">
      <c r="B69" s="656" t="s">
        <v>108</v>
      </c>
      <c r="C69" s="656"/>
      <c r="D69" s="656"/>
      <c r="E69" s="656"/>
      <c r="F69" s="656"/>
      <c r="G69" s="656"/>
      <c r="H69" s="656"/>
      <c r="I69" s="656"/>
      <c r="J69" s="656"/>
      <c r="K69" s="6"/>
      <c r="L69" s="6"/>
      <c r="M69" s="6"/>
      <c r="N69" s="6"/>
      <c r="O69" s="6"/>
      <c r="P69" s="6"/>
      <c r="Q69" s="6"/>
      <c r="R69" s="6"/>
      <c r="S69" s="6"/>
      <c r="T69" s="6"/>
      <c r="U69" s="6"/>
      <c r="W69" s="11"/>
      <c r="X69" s="12"/>
    </row>
    <row r="70" spans="2:24">
      <c r="B70" s="656"/>
      <c r="C70" s="656"/>
      <c r="D70" s="656"/>
      <c r="E70" s="656"/>
      <c r="F70" s="656"/>
      <c r="G70" s="656"/>
      <c r="H70" s="656"/>
      <c r="I70" s="656"/>
      <c r="J70" s="656"/>
      <c r="K70" s="6"/>
      <c r="L70" s="6"/>
      <c r="M70" s="6"/>
      <c r="N70" s="6"/>
      <c r="O70" s="6"/>
      <c r="P70" s="6"/>
      <c r="Q70" s="6"/>
      <c r="R70" s="6"/>
      <c r="S70" s="6"/>
      <c r="T70" s="6"/>
      <c r="U70" s="6"/>
    </row>
    <row r="71" spans="2:24" ht="15" customHeight="1">
      <c r="B71" s="399" t="s">
        <v>281</v>
      </c>
      <c r="C71" s="399"/>
      <c r="D71" s="399"/>
      <c r="E71" s="399"/>
      <c r="F71" s="399"/>
      <c r="G71" s="399"/>
      <c r="H71" s="399"/>
      <c r="I71" s="399"/>
      <c r="J71" s="399"/>
      <c r="K71" s="399"/>
      <c r="L71" s="399"/>
      <c r="M71" s="399"/>
      <c r="N71" s="399"/>
      <c r="O71" s="399"/>
      <c r="P71" s="274"/>
      <c r="Q71" s="274"/>
      <c r="R71" s="274" t="s">
        <v>252</v>
      </c>
      <c r="S71" s="274"/>
      <c r="T71" s="274">
        <f>COVER!H153/COVER!H154</f>
        <v>1.368421052631579</v>
      </c>
      <c r="U71" s="274"/>
    </row>
    <row r="72" spans="2:24">
      <c r="B72" s="399"/>
      <c r="C72" s="399"/>
      <c r="D72" s="399"/>
      <c r="E72" s="399"/>
      <c r="F72" s="399"/>
      <c r="G72" s="399"/>
      <c r="H72" s="399"/>
      <c r="I72" s="399"/>
      <c r="J72" s="399"/>
      <c r="K72" s="399"/>
      <c r="L72" s="399"/>
      <c r="M72" s="399"/>
      <c r="N72" s="399"/>
      <c r="O72" s="399"/>
      <c r="P72" s="274"/>
      <c r="Q72" s="274"/>
      <c r="R72" s="274"/>
      <c r="S72" s="274"/>
      <c r="T72" s="274"/>
      <c r="U72" s="274"/>
    </row>
    <row r="73" spans="2:24">
      <c r="B73" s="399"/>
      <c r="C73" s="399"/>
      <c r="D73" s="399"/>
      <c r="E73" s="399"/>
      <c r="F73" s="399"/>
      <c r="G73" s="399"/>
      <c r="H73" s="399"/>
      <c r="I73" s="399"/>
      <c r="J73" s="399"/>
      <c r="K73" s="399"/>
      <c r="L73" s="399"/>
      <c r="M73" s="399"/>
      <c r="N73" s="399"/>
      <c r="O73" s="399"/>
      <c r="P73" s="274"/>
      <c r="Q73" s="274"/>
      <c r="R73" s="274" t="s">
        <v>282</v>
      </c>
      <c r="S73" s="274"/>
      <c r="T73" s="274">
        <f>COVER!H155/1000</f>
        <v>8.5</v>
      </c>
      <c r="U73" s="274"/>
    </row>
    <row r="74" spans="2:24">
      <c r="B74" s="399"/>
      <c r="C74" s="399"/>
      <c r="D74" s="399"/>
      <c r="E74" s="399"/>
      <c r="F74" s="399"/>
      <c r="G74" s="399"/>
      <c r="H74" s="399"/>
      <c r="I74" s="399"/>
      <c r="J74" s="399"/>
      <c r="K74" s="399"/>
      <c r="L74" s="399"/>
      <c r="M74" s="399"/>
      <c r="N74" s="399"/>
      <c r="O74" s="399"/>
      <c r="P74" s="274"/>
      <c r="Q74" s="274"/>
      <c r="R74" s="274"/>
      <c r="S74" s="274"/>
      <c r="T74" s="274"/>
      <c r="U74" s="274"/>
    </row>
    <row r="75" spans="2:24">
      <c r="B75" s="399"/>
      <c r="C75" s="399"/>
      <c r="D75" s="399"/>
      <c r="E75" s="399"/>
      <c r="F75" s="399"/>
      <c r="G75" s="399"/>
      <c r="H75" s="399"/>
      <c r="I75" s="399"/>
      <c r="J75" s="399"/>
      <c r="K75" s="399"/>
      <c r="L75" s="399"/>
      <c r="M75" s="399"/>
      <c r="N75" s="399"/>
      <c r="O75" s="399"/>
      <c r="P75" s="274"/>
      <c r="Q75" s="274"/>
      <c r="R75" s="274" t="s">
        <v>283</v>
      </c>
      <c r="S75" s="274"/>
      <c r="T75" s="274">
        <f>0.75*8.6</f>
        <v>6.4499999999999993</v>
      </c>
      <c r="U75" s="274"/>
    </row>
    <row r="76" spans="2:24">
      <c r="B76" s="399"/>
      <c r="C76" s="399"/>
      <c r="D76" s="399"/>
      <c r="E76" s="399"/>
      <c r="F76" s="399"/>
      <c r="G76" s="399"/>
      <c r="H76" s="399"/>
      <c r="I76" s="399"/>
      <c r="J76" s="399"/>
      <c r="K76" s="399"/>
      <c r="L76" s="399"/>
      <c r="M76" s="399"/>
      <c r="N76" s="399"/>
      <c r="O76" s="399"/>
      <c r="P76" s="274"/>
      <c r="Q76" s="274"/>
      <c r="R76" s="274"/>
      <c r="S76" s="274"/>
      <c r="T76" s="274"/>
      <c r="U76" s="274"/>
    </row>
    <row r="77" spans="2:24">
      <c r="B77" s="353"/>
      <c r="C77" s="353"/>
      <c r="D77" s="353"/>
      <c r="E77" s="353"/>
      <c r="F77" s="353"/>
      <c r="G77" s="353"/>
      <c r="H77" s="353"/>
      <c r="I77" s="353"/>
      <c r="J77" s="353"/>
      <c r="K77" s="353"/>
      <c r="L77" s="353"/>
      <c r="M77" s="353"/>
      <c r="N77" s="353"/>
      <c r="O77" s="353"/>
      <c r="P77" s="353"/>
      <c r="Q77" s="353"/>
      <c r="R77" s="353"/>
      <c r="S77" s="353"/>
      <c r="T77" s="353"/>
    </row>
    <row r="78" spans="2:24">
      <c r="B78" s="353"/>
      <c r="C78" s="353"/>
      <c r="D78" s="353"/>
      <c r="E78" s="353"/>
      <c r="F78" s="353"/>
      <c r="G78" s="353"/>
      <c r="H78" s="353"/>
      <c r="I78" s="353"/>
      <c r="J78" s="353"/>
      <c r="K78" s="353"/>
      <c r="L78" s="353"/>
      <c r="M78" s="353"/>
      <c r="N78" s="353"/>
      <c r="O78" s="353"/>
      <c r="P78" s="353"/>
      <c r="Q78" s="353"/>
      <c r="R78" s="353"/>
      <c r="S78" s="353"/>
      <c r="T78" s="353"/>
    </row>
    <row r="79" spans="2:24">
      <c r="B79" s="353"/>
      <c r="C79" s="353"/>
      <c r="D79" s="353"/>
      <c r="E79" s="353"/>
      <c r="F79" s="353"/>
      <c r="G79" s="353"/>
      <c r="H79" s="353"/>
      <c r="I79" s="353"/>
      <c r="J79" s="353"/>
      <c r="K79" s="353"/>
      <c r="L79" s="353"/>
      <c r="M79" s="353"/>
      <c r="N79" s="353"/>
      <c r="O79" s="353"/>
      <c r="P79" s="353"/>
      <c r="Q79" s="353"/>
      <c r="R79" s="353"/>
      <c r="S79" s="353"/>
      <c r="T79" s="353"/>
    </row>
    <row r="80" spans="2:24">
      <c r="B80" s="353"/>
      <c r="C80" s="353"/>
      <c r="D80" s="353"/>
      <c r="E80" s="353"/>
      <c r="F80" s="353"/>
      <c r="G80" s="353"/>
      <c r="H80" s="353"/>
      <c r="I80" s="353"/>
      <c r="J80" s="353"/>
      <c r="K80" s="353"/>
      <c r="L80" s="353"/>
      <c r="M80" s="353"/>
      <c r="N80" s="353"/>
      <c r="O80" s="353"/>
      <c r="P80" s="353"/>
      <c r="Q80" s="353"/>
      <c r="R80" s="353"/>
      <c r="S80" s="353"/>
      <c r="T80" s="353"/>
    </row>
    <row r="81" spans="1:22">
      <c r="B81" s="353"/>
      <c r="C81" s="353"/>
      <c r="D81" s="353"/>
      <c r="E81" s="353"/>
      <c r="F81" s="353"/>
      <c r="G81" s="353"/>
      <c r="H81" s="353"/>
      <c r="I81" s="353"/>
      <c r="J81" s="353"/>
      <c r="K81" s="353"/>
      <c r="L81" s="353"/>
      <c r="M81" s="353"/>
      <c r="N81" s="353"/>
      <c r="O81" s="353"/>
      <c r="P81" s="353"/>
      <c r="Q81" s="353"/>
      <c r="R81" s="353"/>
      <c r="S81" s="353"/>
      <c r="T81" s="353"/>
    </row>
    <row r="82" spans="1:22">
      <c r="B82" s="353"/>
      <c r="C82" s="353"/>
      <c r="D82" s="353"/>
      <c r="E82" s="353"/>
      <c r="F82" s="353"/>
      <c r="G82" s="353"/>
      <c r="H82" s="353"/>
      <c r="I82" s="353"/>
      <c r="J82" s="353"/>
      <c r="K82" s="353"/>
      <c r="L82" s="353"/>
      <c r="M82" s="353"/>
      <c r="N82" s="353"/>
      <c r="O82" s="353"/>
      <c r="P82" s="353"/>
      <c r="Q82" s="353"/>
      <c r="R82" s="353"/>
      <c r="S82" s="353"/>
      <c r="T82" s="353"/>
    </row>
    <row r="83" spans="1:22">
      <c r="B83" s="353"/>
      <c r="C83" s="353"/>
      <c r="D83" s="353"/>
      <c r="E83" s="353"/>
      <c r="F83" s="353"/>
      <c r="G83" s="353"/>
      <c r="H83" s="353"/>
      <c r="I83" s="353"/>
      <c r="J83" s="353"/>
      <c r="K83" s="353"/>
      <c r="L83" s="353"/>
      <c r="M83" s="353"/>
      <c r="N83" s="353"/>
      <c r="O83" s="353"/>
      <c r="P83" s="353"/>
      <c r="Q83" s="353"/>
      <c r="R83" s="353"/>
      <c r="S83" s="353"/>
      <c r="T83" s="353"/>
    </row>
    <row r="84" spans="1:22">
      <c r="B84" s="353"/>
      <c r="C84" s="353"/>
      <c r="D84" s="353"/>
      <c r="E84" s="353"/>
      <c r="F84" s="353"/>
      <c r="G84" s="353"/>
      <c r="H84" s="353"/>
      <c r="I84" s="353"/>
      <c r="J84" s="353"/>
      <c r="K84" s="353"/>
      <c r="L84" s="353"/>
      <c r="M84" s="353"/>
      <c r="N84" s="353"/>
      <c r="O84" s="353"/>
      <c r="P84" s="353"/>
      <c r="Q84" s="353"/>
      <c r="R84" s="353"/>
      <c r="S84" s="353"/>
      <c r="T84" s="353"/>
    </row>
    <row r="85" spans="1:22">
      <c r="B85" s="353"/>
      <c r="C85" s="353"/>
      <c r="D85" s="353"/>
      <c r="E85" s="353"/>
      <c r="F85" s="353"/>
      <c r="G85" s="353"/>
      <c r="H85" s="353"/>
      <c r="I85" s="353"/>
      <c r="J85" s="353"/>
      <c r="K85" s="353"/>
      <c r="L85" s="353"/>
      <c r="M85" s="353"/>
      <c r="N85" s="353"/>
      <c r="O85" s="353"/>
      <c r="P85" s="353"/>
      <c r="Q85" s="353"/>
      <c r="R85" s="353"/>
      <c r="S85" s="353"/>
      <c r="T85" s="353"/>
    </row>
    <row r="86" spans="1:22">
      <c r="B86" s="353"/>
      <c r="C86" s="353"/>
      <c r="D86" s="353"/>
      <c r="E86" s="353"/>
      <c r="F86" s="353"/>
      <c r="G86" s="353"/>
      <c r="H86" s="353"/>
      <c r="I86" s="353"/>
      <c r="J86" s="353"/>
      <c r="K86" s="353"/>
      <c r="L86" s="353"/>
      <c r="M86" s="353"/>
      <c r="N86" s="353"/>
      <c r="O86" s="353"/>
      <c r="P86" s="353"/>
      <c r="Q86" s="353"/>
      <c r="R86" s="353"/>
      <c r="S86" s="353"/>
      <c r="T86" s="353"/>
    </row>
    <row r="87" spans="1:22">
      <c r="B87" s="353"/>
      <c r="C87" s="353"/>
      <c r="D87" s="353"/>
      <c r="E87" s="353"/>
      <c r="F87" s="353"/>
      <c r="G87" s="353"/>
      <c r="H87" s="353"/>
      <c r="I87" s="353"/>
      <c r="J87" s="353"/>
      <c r="K87" s="353"/>
      <c r="L87" s="353"/>
      <c r="M87" s="353"/>
      <c r="N87" s="353"/>
      <c r="O87" s="353"/>
      <c r="P87" s="353"/>
      <c r="Q87" s="353"/>
      <c r="R87" s="353"/>
      <c r="S87" s="353"/>
      <c r="T87" s="353"/>
    </row>
    <row r="88" spans="1:22">
      <c r="B88" s="353"/>
      <c r="C88" s="353"/>
      <c r="D88" s="353"/>
      <c r="E88" s="353"/>
      <c r="F88" s="353"/>
      <c r="G88" s="353"/>
      <c r="H88" s="353"/>
      <c r="I88" s="353"/>
      <c r="J88" s="353"/>
      <c r="K88" s="353"/>
      <c r="L88" s="353"/>
      <c r="M88" s="353"/>
      <c r="N88" s="353"/>
      <c r="O88" s="353"/>
      <c r="P88" s="353"/>
      <c r="Q88" s="353"/>
      <c r="R88" s="353"/>
      <c r="S88" s="353"/>
      <c r="T88" s="353"/>
    </row>
    <row r="89" spans="1:22">
      <c r="B89" s="353"/>
      <c r="C89" s="353"/>
      <c r="D89" s="353"/>
      <c r="E89" s="353"/>
      <c r="F89" s="353"/>
      <c r="G89" s="353"/>
      <c r="H89" s="353"/>
      <c r="I89" s="353"/>
      <c r="J89" s="353"/>
      <c r="K89" s="353"/>
      <c r="L89" s="353"/>
      <c r="M89" s="353"/>
      <c r="N89" s="353"/>
      <c r="O89" s="353"/>
      <c r="P89" s="353"/>
      <c r="Q89" s="353"/>
      <c r="R89" s="353"/>
      <c r="S89" s="353"/>
      <c r="T89" s="353"/>
    </row>
    <row r="90" spans="1:22">
      <c r="B90" s="353"/>
      <c r="C90" s="353"/>
      <c r="D90" s="353"/>
      <c r="E90" s="353"/>
      <c r="F90" s="353"/>
      <c r="G90" s="353"/>
      <c r="H90" s="353"/>
      <c r="I90" s="353"/>
      <c r="J90" s="353"/>
      <c r="K90" s="353"/>
      <c r="L90" s="353"/>
      <c r="M90" s="353"/>
      <c r="N90" s="353"/>
      <c r="O90" s="353"/>
      <c r="P90" s="353"/>
      <c r="Q90" s="353"/>
      <c r="R90" s="353"/>
      <c r="S90" s="353"/>
      <c r="T90" s="353"/>
    </row>
    <row r="91" spans="1:22">
      <c r="B91" s="353"/>
      <c r="C91" s="353"/>
      <c r="D91" s="353"/>
      <c r="E91" s="353"/>
      <c r="F91" s="353"/>
      <c r="G91" s="353"/>
      <c r="H91" s="353"/>
      <c r="I91" s="353"/>
      <c r="J91" s="353"/>
      <c r="K91" s="353"/>
      <c r="L91" s="353"/>
      <c r="M91" s="353"/>
      <c r="N91" s="353"/>
      <c r="O91" s="353"/>
      <c r="P91" s="353"/>
      <c r="Q91" s="353"/>
      <c r="R91" s="353"/>
      <c r="S91" s="353"/>
      <c r="T91" s="353"/>
    </row>
    <row r="92" spans="1:22">
      <c r="B92" s="353"/>
      <c r="C92" s="353"/>
      <c r="D92" s="353"/>
      <c r="E92" s="353"/>
      <c r="F92" s="353"/>
      <c r="G92" s="353"/>
      <c r="H92" s="353"/>
      <c r="I92" s="353"/>
      <c r="J92" s="353"/>
      <c r="K92" s="353"/>
      <c r="L92" s="353"/>
      <c r="M92" s="353"/>
      <c r="N92" s="353"/>
      <c r="O92" s="353"/>
      <c r="P92" s="353"/>
      <c r="Q92" s="353"/>
      <c r="R92" s="353"/>
      <c r="S92" s="353"/>
      <c r="T92" s="353"/>
    </row>
    <row r="93" spans="1:22">
      <c r="B93" s="13"/>
      <c r="C93" s="13"/>
      <c r="D93" s="13"/>
      <c r="E93" s="13"/>
      <c r="F93" s="13"/>
      <c r="G93" s="13"/>
      <c r="H93" s="13"/>
      <c r="I93" s="13"/>
      <c r="J93" s="13"/>
      <c r="K93" s="13"/>
      <c r="L93" s="13"/>
    </row>
    <row r="95" spans="1:22" ht="15" customHeight="1">
      <c r="A95" s="396"/>
      <c r="B95" s="396"/>
      <c r="C95" s="396"/>
      <c r="D95" s="396"/>
      <c r="E95" s="396"/>
      <c r="F95" s="394" t="s">
        <v>0</v>
      </c>
      <c r="G95" s="394"/>
      <c r="H95" s="394"/>
      <c r="I95" s="394"/>
      <c r="J95" s="394"/>
      <c r="K95" s="394"/>
      <c r="L95" s="394"/>
      <c r="M95" s="394"/>
      <c r="N95" s="394"/>
      <c r="O95" s="394"/>
      <c r="P95" s="394"/>
      <c r="Q95" s="394"/>
      <c r="R95" s="396"/>
      <c r="S95" s="396"/>
      <c r="T95" s="396"/>
      <c r="U95" s="396"/>
      <c r="V95" s="396"/>
    </row>
    <row r="96" spans="1:22" ht="15" customHeight="1">
      <c r="A96" s="396"/>
      <c r="B96" s="396"/>
      <c r="C96" s="396"/>
      <c r="D96" s="396"/>
      <c r="E96" s="396"/>
      <c r="F96" s="394"/>
      <c r="G96" s="394"/>
      <c r="H96" s="394"/>
      <c r="I96" s="394"/>
      <c r="J96" s="394"/>
      <c r="K96" s="394"/>
      <c r="L96" s="394"/>
      <c r="M96" s="394"/>
      <c r="N96" s="394"/>
      <c r="O96" s="394"/>
      <c r="P96" s="394"/>
      <c r="Q96" s="394"/>
      <c r="R96" s="396"/>
      <c r="S96" s="396"/>
      <c r="T96" s="396"/>
      <c r="U96" s="396"/>
      <c r="V96" s="396"/>
    </row>
    <row r="97" spans="1:22" ht="15" customHeight="1">
      <c r="A97" s="396"/>
      <c r="B97" s="396"/>
      <c r="C97" s="396"/>
      <c r="D97" s="396"/>
      <c r="E97" s="396"/>
      <c r="F97" s="394"/>
      <c r="G97" s="394"/>
      <c r="H97" s="394"/>
      <c r="I97" s="394"/>
      <c r="J97" s="394"/>
      <c r="K97" s="394"/>
      <c r="L97" s="394"/>
      <c r="M97" s="394"/>
      <c r="N97" s="394"/>
      <c r="O97" s="394"/>
      <c r="P97" s="394"/>
      <c r="Q97" s="394"/>
      <c r="R97" s="396"/>
      <c r="S97" s="396"/>
      <c r="T97" s="396"/>
      <c r="U97" s="396"/>
      <c r="V97" s="396"/>
    </row>
    <row r="98" spans="1:22" ht="15" customHeight="1">
      <c r="A98" s="396"/>
      <c r="B98" s="396"/>
      <c r="C98" s="396"/>
      <c r="D98" s="396"/>
      <c r="E98" s="396"/>
      <c r="F98" s="394"/>
      <c r="G98" s="394"/>
      <c r="H98" s="394"/>
      <c r="I98" s="394"/>
      <c r="J98" s="394"/>
      <c r="K98" s="394"/>
      <c r="L98" s="394"/>
      <c r="M98" s="394"/>
      <c r="N98" s="394"/>
      <c r="O98" s="394"/>
      <c r="P98" s="394"/>
      <c r="Q98" s="394"/>
      <c r="R98" s="396"/>
      <c r="S98" s="396"/>
      <c r="T98" s="396"/>
      <c r="U98" s="396"/>
      <c r="V98" s="396"/>
    </row>
    <row r="99" spans="1:22" ht="15" customHeight="1">
      <c r="A99" s="396"/>
      <c r="B99" s="396"/>
      <c r="C99" s="396"/>
      <c r="D99" s="396"/>
      <c r="E99" s="396"/>
      <c r="F99" s="402" t="s">
        <v>209</v>
      </c>
      <c r="G99" s="402"/>
      <c r="H99" s="402"/>
      <c r="I99" s="402"/>
      <c r="J99" s="402"/>
      <c r="K99" s="402"/>
      <c r="L99" s="402"/>
      <c r="M99" s="402"/>
      <c r="N99" s="402"/>
      <c r="O99" s="402"/>
      <c r="P99" s="402"/>
      <c r="Q99" s="402"/>
      <c r="R99" s="396"/>
      <c r="S99" s="396"/>
      <c r="T99" s="396"/>
      <c r="U99" s="396"/>
      <c r="V99" s="396"/>
    </row>
    <row r="100" spans="1:22">
      <c r="A100" s="402" t="e">
        <f>A53</f>
        <v>#REF!</v>
      </c>
      <c r="B100" s="402"/>
      <c r="C100" s="402"/>
      <c r="D100" s="402"/>
      <c r="E100" s="402"/>
      <c r="F100" s="490" t="e">
        <f>F53</f>
        <v>#REF!</v>
      </c>
      <c r="G100" s="490"/>
      <c r="H100" s="490"/>
      <c r="I100" s="490"/>
      <c r="J100" s="490"/>
      <c r="K100" s="490"/>
      <c r="L100" s="490"/>
      <c r="M100" s="490"/>
      <c r="N100" s="490"/>
      <c r="O100" s="490"/>
      <c r="P100" s="490"/>
      <c r="Q100" s="490"/>
      <c r="R100" s="402" t="s">
        <v>199</v>
      </c>
      <c r="S100" s="402"/>
      <c r="T100" s="402"/>
      <c r="U100" s="402"/>
      <c r="V100" s="402"/>
    </row>
    <row r="101" spans="1:22">
      <c r="A101" s="402"/>
      <c r="B101" s="402"/>
      <c r="C101" s="402"/>
      <c r="D101" s="402"/>
      <c r="E101" s="402"/>
      <c r="F101" s="490"/>
      <c r="G101" s="490"/>
      <c r="H101" s="490"/>
      <c r="I101" s="490"/>
      <c r="J101" s="490"/>
      <c r="K101" s="490"/>
      <c r="L101" s="490"/>
      <c r="M101" s="490"/>
      <c r="N101" s="490"/>
      <c r="O101" s="490"/>
      <c r="P101" s="490"/>
      <c r="Q101" s="490"/>
      <c r="R101" s="402"/>
      <c r="S101" s="402"/>
      <c r="T101" s="402"/>
      <c r="U101" s="402"/>
      <c r="V101" s="402"/>
    </row>
    <row r="103" spans="1:22">
      <c r="B103" s="353"/>
      <c r="C103" s="353"/>
      <c r="D103" s="353"/>
      <c r="E103" s="353"/>
      <c r="F103" s="353"/>
      <c r="G103" s="353"/>
      <c r="H103" s="353"/>
      <c r="I103" s="353"/>
      <c r="J103" s="353"/>
      <c r="K103" s="353"/>
      <c r="L103" s="353"/>
      <c r="M103" s="353"/>
    </row>
    <row r="104" spans="1:22">
      <c r="B104" s="353"/>
      <c r="C104" s="353"/>
      <c r="D104" s="353"/>
      <c r="E104" s="353"/>
      <c r="F104" s="353"/>
      <c r="G104" s="353"/>
      <c r="H104" s="353"/>
      <c r="I104" s="353"/>
      <c r="J104" s="353"/>
      <c r="K104" s="353"/>
      <c r="L104" s="353"/>
      <c r="M104" s="353"/>
    </row>
    <row r="105" spans="1:22">
      <c r="B105" s="353"/>
      <c r="C105" s="353"/>
      <c r="D105" s="353"/>
      <c r="E105" s="353"/>
      <c r="F105" s="353"/>
      <c r="G105" s="353"/>
      <c r="H105" s="353"/>
      <c r="I105" s="353"/>
      <c r="J105" s="353"/>
      <c r="K105" s="353"/>
      <c r="L105" s="353"/>
      <c r="M105" s="353"/>
    </row>
    <row r="106" spans="1:22">
      <c r="B106" s="353"/>
      <c r="C106" s="353"/>
      <c r="D106" s="353"/>
      <c r="E106" s="353"/>
      <c r="F106" s="353"/>
      <c r="G106" s="353"/>
      <c r="H106" s="353"/>
      <c r="I106" s="353"/>
      <c r="J106" s="353"/>
      <c r="K106" s="353"/>
      <c r="L106" s="353"/>
      <c r="M106" s="353"/>
    </row>
    <row r="107" spans="1:22">
      <c r="B107" s="353"/>
      <c r="C107" s="353"/>
      <c r="D107" s="353"/>
      <c r="E107" s="353"/>
      <c r="F107" s="353"/>
      <c r="G107" s="353"/>
      <c r="H107" s="353"/>
      <c r="I107" s="353"/>
      <c r="J107" s="353"/>
      <c r="K107" s="353"/>
      <c r="L107" s="353"/>
      <c r="M107" s="353"/>
    </row>
    <row r="108" spans="1:22">
      <c r="B108" s="353"/>
      <c r="C108" s="353"/>
      <c r="D108" s="353"/>
      <c r="E108" s="353"/>
      <c r="F108" s="353"/>
      <c r="G108" s="353"/>
      <c r="H108" s="353"/>
      <c r="I108" s="353"/>
      <c r="J108" s="353"/>
      <c r="K108" s="353"/>
      <c r="L108" s="353"/>
      <c r="M108" s="353"/>
    </row>
    <row r="109" spans="1:22">
      <c r="B109" s="353"/>
      <c r="C109" s="353"/>
      <c r="D109" s="353"/>
      <c r="E109" s="353"/>
      <c r="F109" s="353"/>
      <c r="G109" s="353"/>
      <c r="H109" s="353"/>
      <c r="I109" s="353"/>
      <c r="J109" s="353"/>
      <c r="K109" s="353"/>
      <c r="L109" s="353"/>
      <c r="M109" s="353"/>
    </row>
    <row r="111" spans="1:22">
      <c r="B111" s="657" t="s">
        <v>109</v>
      </c>
      <c r="C111" s="657"/>
      <c r="D111" s="658" t="s">
        <v>110</v>
      </c>
      <c r="E111" s="658"/>
      <c r="F111" s="657" t="s">
        <v>111</v>
      </c>
      <c r="G111" s="657"/>
      <c r="H111" s="657" t="s">
        <v>112</v>
      </c>
      <c r="I111" s="657"/>
      <c r="J111" s="657" t="s">
        <v>113</v>
      </c>
      <c r="K111" s="657"/>
      <c r="L111" s="657" t="s">
        <v>114</v>
      </c>
      <c r="M111" s="657"/>
      <c r="N111" s="657" t="s">
        <v>115</v>
      </c>
      <c r="O111" s="657"/>
      <c r="P111" s="657" t="s">
        <v>116</v>
      </c>
      <c r="Q111" s="657"/>
      <c r="R111" s="657"/>
      <c r="S111" s="657" t="s">
        <v>117</v>
      </c>
      <c r="T111" s="657"/>
      <c r="U111" s="657"/>
    </row>
    <row r="112" spans="1:22">
      <c r="B112" s="657"/>
      <c r="C112" s="657"/>
      <c r="D112" s="658"/>
      <c r="E112" s="658"/>
      <c r="F112" s="657"/>
      <c r="G112" s="657"/>
      <c r="H112" s="657"/>
      <c r="I112" s="657"/>
      <c r="J112" s="657"/>
      <c r="K112" s="657"/>
      <c r="L112" s="657"/>
      <c r="M112" s="657"/>
      <c r="N112" s="657"/>
      <c r="O112" s="657"/>
      <c r="P112" s="657"/>
      <c r="Q112" s="657"/>
      <c r="R112" s="657"/>
      <c r="S112" s="657"/>
      <c r="T112" s="657"/>
      <c r="U112" s="657"/>
    </row>
    <row r="113" spans="2:26">
      <c r="B113" s="209">
        <v>1</v>
      </c>
      <c r="C113" s="209"/>
      <c r="D113" s="209">
        <v>1.5</v>
      </c>
      <c r="E113" s="209"/>
      <c r="F113" s="209">
        <f>8-1.5</f>
        <v>6.5</v>
      </c>
      <c r="G113" s="209"/>
      <c r="H113" s="209">
        <v>9.3000000000000007</v>
      </c>
      <c r="I113" s="209"/>
      <c r="J113" s="209">
        <f>2.6*0.28*1.01*(8.6^2)</f>
        <v>54.381308799999999</v>
      </c>
      <c r="K113" s="209"/>
      <c r="L113" s="209">
        <f>(1.85*0.2*1.01*(8.6^2)*(COSH((3.68*(10.5-'Anchorage ratio (J)'!H113))/(8.6))))/(COSH((3.68*10.5)/8.6))</f>
        <v>0.70162248620356782</v>
      </c>
      <c r="M113" s="209"/>
      <c r="N113" s="209">
        <f>2.6*8.6*1.01*(H113-1)</f>
        <v>187.44388000000001</v>
      </c>
      <c r="O113" s="209"/>
      <c r="P113" s="209">
        <f>(N113+((J113^2)+(L113^2)+(((N113*0.376)/2.5)^2))^0.5)/(F113)</f>
        <v>38.261878532485383</v>
      </c>
      <c r="Q113" s="209"/>
      <c r="R113" s="209"/>
      <c r="S113" s="209">
        <f>(N113-((J113^2)+(L113^2)+(((N113*0.376)/2.5)^2))^0.5)/(F113)</f>
        <v>19.41316146751462</v>
      </c>
      <c r="T113" s="209"/>
      <c r="U113" s="209"/>
      <c r="X113" s="3"/>
      <c r="Z113" s="274"/>
    </row>
    <row r="114" spans="2:26">
      <c r="B114" s="209"/>
      <c r="C114" s="209"/>
      <c r="D114" s="209"/>
      <c r="E114" s="209"/>
      <c r="F114" s="209"/>
      <c r="G114" s="209"/>
      <c r="H114" s="209"/>
      <c r="I114" s="209"/>
      <c r="J114" s="209"/>
      <c r="K114" s="209"/>
      <c r="L114" s="209"/>
      <c r="M114" s="209"/>
      <c r="N114" s="209"/>
      <c r="O114" s="209"/>
      <c r="P114" s="209"/>
      <c r="Q114" s="209"/>
      <c r="R114" s="209"/>
      <c r="S114" s="209"/>
      <c r="T114" s="209"/>
      <c r="U114" s="209"/>
      <c r="X114" s="3"/>
      <c r="Z114" s="274"/>
    </row>
    <row r="115" spans="2:26">
      <c r="B115" s="209">
        <v>2</v>
      </c>
      <c r="C115" s="209"/>
      <c r="D115" s="209">
        <v>1.5</v>
      </c>
      <c r="E115" s="209"/>
      <c r="F115" s="209">
        <f>6-1.5</f>
        <v>4.5</v>
      </c>
      <c r="G115" s="209"/>
      <c r="H115" s="484">
        <f>H113-D115</f>
        <v>7.8000000000000007</v>
      </c>
      <c r="I115" s="485"/>
      <c r="J115" s="209">
        <f t="shared" ref="J115" si="0">2.6*0.28*1.01*(8.6^2)</f>
        <v>54.381308799999999</v>
      </c>
      <c r="K115" s="209"/>
      <c r="L115" s="209">
        <f>(1.85*0.2*1.01*(8.6^2)*(COSH((3.68*(10.5-'Anchorage ratio (J)'!H115))/(8.6))))/(COSH((3.68*10.5)/8.6))</f>
        <v>1.0789607349164796</v>
      </c>
      <c r="M115" s="209"/>
      <c r="N115" s="209">
        <f t="shared" ref="N115" si="1">2.6*8.6*1.01*(H115-1)</f>
        <v>153.56848000000002</v>
      </c>
      <c r="O115" s="209"/>
      <c r="P115" s="209">
        <f t="shared" ref="P115" si="2">(N115+((J115^2)+(L115^2)+(((N115*0.376)/2.5)^2))^0.5)/(F115)</f>
        <v>47.258042317606737</v>
      </c>
      <c r="Q115" s="209"/>
      <c r="R115" s="209"/>
      <c r="S115" s="209">
        <f t="shared" ref="S115" si="3">(N115-((J115^2)+(L115^2)+(((N115*0.376)/2.5)^2))^0.5)/(F115)</f>
        <v>20.994615460171051</v>
      </c>
      <c r="T115" s="209"/>
      <c r="U115" s="209"/>
      <c r="X115" s="3"/>
      <c r="Y115" s="3"/>
      <c r="Z115" s="274"/>
    </row>
    <row r="116" spans="2:26">
      <c r="B116" s="209"/>
      <c r="C116" s="209"/>
      <c r="D116" s="209"/>
      <c r="E116" s="209"/>
      <c r="F116" s="209"/>
      <c r="G116" s="209"/>
      <c r="H116" s="486"/>
      <c r="I116" s="488"/>
      <c r="J116" s="209"/>
      <c r="K116" s="209"/>
      <c r="L116" s="209"/>
      <c r="M116" s="209"/>
      <c r="N116" s="209"/>
      <c r="O116" s="209"/>
      <c r="P116" s="209"/>
      <c r="Q116" s="209"/>
      <c r="R116" s="209"/>
      <c r="S116" s="209"/>
      <c r="T116" s="209"/>
      <c r="U116" s="209"/>
      <c r="X116" s="3"/>
      <c r="Y116" s="3"/>
      <c r="Z116" s="274"/>
    </row>
    <row r="117" spans="2:26">
      <c r="B117" s="209">
        <v>3</v>
      </c>
      <c r="C117" s="209"/>
      <c r="D117" s="209">
        <v>1.5</v>
      </c>
      <c r="E117" s="209"/>
      <c r="F117" s="209">
        <f>5-1.5</f>
        <v>3.5</v>
      </c>
      <c r="G117" s="209"/>
      <c r="H117" s="484">
        <f t="shared" ref="H117" si="4">H115-D117</f>
        <v>6.3000000000000007</v>
      </c>
      <c r="I117" s="485"/>
      <c r="J117" s="209">
        <f t="shared" ref="J117" si="5">2.6*0.28*1.01*(8.6^2)</f>
        <v>54.381308799999999</v>
      </c>
      <c r="K117" s="209"/>
      <c r="L117" s="209">
        <f>(1.85*0.2*1.01*(8.6^2)*(COSH((3.68*(10.5-'Anchorage ratio (J)'!H117))/(8.6))))/(COSH((3.68*10.5)/8.6))</f>
        <v>1.9162867321934689</v>
      </c>
      <c r="M117" s="209"/>
      <c r="N117" s="209">
        <f t="shared" ref="N117" si="6">2.6*8.6*1.01*(H117-1)</f>
        <v>119.69308000000002</v>
      </c>
      <c r="O117" s="209"/>
      <c r="P117" s="209">
        <f t="shared" ref="P117" si="7">(N117+((J117^2)+(L117^2)+(((N117*0.376)/2.5)^2))^0.5)/(F117)</f>
        <v>50.573876453528676</v>
      </c>
      <c r="Q117" s="209"/>
      <c r="R117" s="209"/>
      <c r="S117" s="209">
        <f t="shared" ref="S117" si="8">(N117-((J117^2)+(L117^2)+(((N117*0.376)/2.5)^2))^0.5)/(F117)</f>
        <v>17.82216926075705</v>
      </c>
      <c r="T117" s="209"/>
      <c r="U117" s="209"/>
      <c r="X117" s="3"/>
      <c r="Y117" s="3"/>
    </row>
    <row r="118" spans="2:26">
      <c r="B118" s="209"/>
      <c r="C118" s="209"/>
      <c r="D118" s="209"/>
      <c r="E118" s="209"/>
      <c r="F118" s="209"/>
      <c r="G118" s="209"/>
      <c r="H118" s="486"/>
      <c r="I118" s="488"/>
      <c r="J118" s="209"/>
      <c r="K118" s="209"/>
      <c r="L118" s="209"/>
      <c r="M118" s="209"/>
      <c r="N118" s="209"/>
      <c r="O118" s="209"/>
      <c r="P118" s="209"/>
      <c r="Q118" s="209"/>
      <c r="R118" s="209"/>
      <c r="S118" s="209"/>
      <c r="T118" s="209"/>
      <c r="U118" s="209"/>
      <c r="X118" s="3"/>
      <c r="Y118" s="3"/>
    </row>
    <row r="119" spans="2:26">
      <c r="B119" s="209">
        <v>4</v>
      </c>
      <c r="C119" s="209"/>
      <c r="D119" s="209">
        <v>1.5</v>
      </c>
      <c r="E119" s="209"/>
      <c r="F119" s="209">
        <f t="shared" ref="F119" si="9">5-1.5</f>
        <v>3.5</v>
      </c>
      <c r="G119" s="209"/>
      <c r="H119" s="484">
        <f t="shared" ref="H119" si="10">H117-D119</f>
        <v>4.8000000000000007</v>
      </c>
      <c r="I119" s="485"/>
      <c r="J119" s="209">
        <f t="shared" ref="J119" si="11">2.6*0.28*1.01*(8.6^2)</f>
        <v>54.381308799999999</v>
      </c>
      <c r="K119" s="209"/>
      <c r="L119" s="209">
        <f>(1.85*0.2*1.01*(8.6^2)*(COSH((3.68*(10.5-'Anchorage ratio (J)'!H119))/(8.6))))/(COSH((3.68*10.5)/8.6))</f>
        <v>3.5705733388971961</v>
      </c>
      <c r="M119" s="209"/>
      <c r="N119" s="209">
        <f t="shared" ref="N119" si="12">2.6*8.6*1.01*(H119-1)</f>
        <v>85.817680000000024</v>
      </c>
      <c r="O119" s="209"/>
      <c r="P119" s="209">
        <f t="shared" ref="P119" si="13">(N119+((J119^2)+(L119^2)+(((N119*0.376)/2.5)^2))^0.5)/(F119)</f>
        <v>40.521035648454493</v>
      </c>
      <c r="Q119" s="209"/>
      <c r="R119" s="209"/>
      <c r="S119" s="209">
        <f t="shared" ref="S119" si="14">(N119-((J119^2)+(L119^2)+(((N119*0.376)/2.5)^2))^0.5)/(F119)</f>
        <v>8.5176386372598021</v>
      </c>
      <c r="T119" s="209"/>
      <c r="U119" s="209"/>
      <c r="X119" s="3"/>
      <c r="Z119" s="3"/>
    </row>
    <row r="120" spans="2:26">
      <c r="B120" s="209"/>
      <c r="C120" s="209"/>
      <c r="D120" s="209"/>
      <c r="E120" s="209"/>
      <c r="F120" s="209"/>
      <c r="G120" s="209"/>
      <c r="H120" s="486"/>
      <c r="I120" s="488"/>
      <c r="J120" s="209"/>
      <c r="K120" s="209"/>
      <c r="L120" s="209"/>
      <c r="M120" s="209"/>
      <c r="N120" s="209"/>
      <c r="O120" s="209"/>
      <c r="P120" s="209"/>
      <c r="Q120" s="209"/>
      <c r="R120" s="209"/>
      <c r="S120" s="209"/>
      <c r="T120" s="209"/>
      <c r="U120" s="209"/>
      <c r="X120" s="3"/>
    </row>
    <row r="121" spans="2:26">
      <c r="B121" s="209">
        <v>5</v>
      </c>
      <c r="C121" s="209"/>
      <c r="D121" s="209">
        <v>1.5</v>
      </c>
      <c r="E121" s="209"/>
      <c r="F121" s="209">
        <f t="shared" ref="F121" si="15">5-1.5</f>
        <v>3.5</v>
      </c>
      <c r="G121" s="209"/>
      <c r="H121" s="484">
        <f t="shared" ref="H121" si="16">H119-D121</f>
        <v>3.3000000000000007</v>
      </c>
      <c r="I121" s="485"/>
      <c r="J121" s="209">
        <f t="shared" ref="J121" si="17">2.6*0.28*1.01*(8.6^2)</f>
        <v>54.381308799999999</v>
      </c>
      <c r="K121" s="209"/>
      <c r="L121" s="209">
        <f>(1.85*0.2*1.01*(8.6^2)*(COSH((3.68*(10.5-'Anchorage ratio (J)'!H121))/(8.6))))/(COSH((3.68*10.5)/8.6))</f>
        <v>6.7470840063026101</v>
      </c>
      <c r="M121" s="209"/>
      <c r="N121" s="209">
        <f t="shared" ref="N121" si="18">2.6*8.6*1.01*(H121-1)</f>
        <v>51.942280000000018</v>
      </c>
      <c r="O121" s="209"/>
      <c r="P121" s="209">
        <f t="shared" ref="P121" si="19">(N121+((J121^2)+(L121^2)+(((N121*0.376)/2.5)^2))^0.5)/(F121)</f>
        <v>30.65559938549972</v>
      </c>
      <c r="Q121" s="209"/>
      <c r="R121" s="209"/>
      <c r="S121" s="209">
        <f t="shared" ref="S121" si="20">(N121-((J121^2)+(L121^2)+(((N121*0.376)/2.5)^2))^0.5)/(F121)</f>
        <v>-0.97429652835685332</v>
      </c>
      <c r="T121" s="209"/>
      <c r="U121" s="209"/>
      <c r="X121" s="3"/>
    </row>
    <row r="122" spans="2:26">
      <c r="B122" s="209"/>
      <c r="C122" s="209"/>
      <c r="D122" s="209"/>
      <c r="E122" s="209"/>
      <c r="F122" s="209"/>
      <c r="G122" s="209"/>
      <c r="H122" s="486"/>
      <c r="I122" s="488"/>
      <c r="J122" s="209"/>
      <c r="K122" s="209"/>
      <c r="L122" s="209"/>
      <c r="M122" s="209"/>
      <c r="N122" s="209"/>
      <c r="O122" s="209"/>
      <c r="P122" s="209"/>
      <c r="Q122" s="209"/>
      <c r="R122" s="209"/>
      <c r="S122" s="209"/>
      <c r="T122" s="209"/>
      <c r="U122" s="209"/>
      <c r="X122" s="3"/>
    </row>
    <row r="123" spans="2:26">
      <c r="B123" s="209">
        <v>6</v>
      </c>
      <c r="C123" s="209"/>
      <c r="D123" s="209">
        <v>1.5</v>
      </c>
      <c r="E123" s="209"/>
      <c r="F123" s="209">
        <f t="shared" ref="F123" si="21">5-1.5</f>
        <v>3.5</v>
      </c>
      <c r="G123" s="209"/>
      <c r="H123" s="484">
        <f t="shared" ref="H123" si="22">H121-D123</f>
        <v>1.8000000000000007</v>
      </c>
      <c r="I123" s="485"/>
      <c r="J123" s="209">
        <f t="shared" ref="J123" si="23">2.6*0.28*1.01*(8.6^2)</f>
        <v>54.381308799999999</v>
      </c>
      <c r="K123" s="209"/>
      <c r="L123" s="209">
        <f>(1.85*0.2*1.01*(8.6^2)*(COSH((3.68*(10.5-'Anchorage ratio (J)'!H123))/(8.6))))/(COSH((3.68*10.5)/8.6))</f>
        <v>12.800044094893012</v>
      </c>
      <c r="M123" s="209"/>
      <c r="N123" s="209">
        <f t="shared" ref="N123" si="24">2.6*8.6*1.01*(H123-1)</f>
        <v>18.066880000000015</v>
      </c>
      <c r="O123" s="209"/>
      <c r="P123" s="209">
        <f t="shared" ref="P123" si="25">(N123+((J123^2)+(L123^2)+(((N123*0.376)/2.5)^2))^0.5)/(F123)</f>
        <v>21.142952812499143</v>
      </c>
      <c r="Q123" s="209"/>
      <c r="R123" s="209"/>
      <c r="S123" s="209">
        <f t="shared" ref="S123" si="26">(N123-((J123^2)+(L123^2)+(((N123*0.376)/2.5)^2))^0.5)/(F123)</f>
        <v>-10.819021383927707</v>
      </c>
      <c r="T123" s="209"/>
      <c r="U123" s="209"/>
      <c r="X123" s="3"/>
    </row>
    <row r="124" spans="2:26">
      <c r="B124" s="209"/>
      <c r="C124" s="209"/>
      <c r="D124" s="209"/>
      <c r="E124" s="209"/>
      <c r="F124" s="209"/>
      <c r="G124" s="209"/>
      <c r="H124" s="486"/>
      <c r="I124" s="488"/>
      <c r="J124" s="209"/>
      <c r="K124" s="209"/>
      <c r="L124" s="209"/>
      <c r="M124" s="209"/>
      <c r="N124" s="209"/>
      <c r="O124" s="209"/>
      <c r="P124" s="209"/>
      <c r="Q124" s="209"/>
      <c r="R124" s="209"/>
      <c r="S124" s="209"/>
      <c r="T124" s="209"/>
      <c r="U124" s="209"/>
      <c r="X124" s="3"/>
    </row>
    <row r="125" spans="2:26">
      <c r="B125" s="209">
        <v>7</v>
      </c>
      <c r="C125" s="209"/>
      <c r="D125" s="209">
        <v>1.5</v>
      </c>
      <c r="E125" s="209"/>
      <c r="F125" s="209">
        <f t="shared" ref="F125" si="27">5-1.5</f>
        <v>3.5</v>
      </c>
      <c r="G125" s="209"/>
      <c r="H125" s="484">
        <f t="shared" ref="H125" si="28">H123-D125</f>
        <v>0.30000000000000071</v>
      </c>
      <c r="I125" s="485"/>
      <c r="J125" s="209">
        <f t="shared" ref="J125" si="29">2.6*0.28*1.01*(8.6^2)</f>
        <v>54.381308799999999</v>
      </c>
      <c r="K125" s="209"/>
      <c r="L125" s="209">
        <f>(1.85*0.2*1.01*(8.6^2)*(COSH((3.68*(10.5-'Anchorage ratio (J)'!H125))/(8.6))))/(COSH((3.68*10.5)/8.6))</f>
        <v>24.309980766775411</v>
      </c>
      <c r="M125" s="209"/>
      <c r="N125" s="209">
        <f t="shared" ref="N125" si="30">2.6*8.6*1.01*(H125-1)</f>
        <v>-15.808519999999984</v>
      </c>
      <c r="O125" s="209"/>
      <c r="P125" s="209">
        <f t="shared" ref="P125" si="31">(N125+((J125^2)+(L125^2)+(((N125*0.376)/2.5)^2))^0.5)/(F125)</f>
        <v>12.516153138673486</v>
      </c>
      <c r="Q125" s="209"/>
      <c r="R125" s="209"/>
      <c r="S125" s="209">
        <f t="shared" ref="S125" si="32">(N125-((J125^2)+(L125^2)+(((N125*0.376)/2.5)^2))^0.5)/(F125)</f>
        <v>-21.54959313867348</v>
      </c>
      <c r="T125" s="209"/>
      <c r="U125" s="209"/>
      <c r="X125" s="3"/>
      <c r="Z125" s="3"/>
    </row>
    <row r="126" spans="2:26">
      <c r="B126" s="209"/>
      <c r="C126" s="209"/>
      <c r="D126" s="209"/>
      <c r="E126" s="209"/>
      <c r="F126" s="209"/>
      <c r="G126" s="209"/>
      <c r="H126" s="486"/>
      <c r="I126" s="488"/>
      <c r="J126" s="209"/>
      <c r="K126" s="209"/>
      <c r="L126" s="209"/>
      <c r="M126" s="209"/>
      <c r="N126" s="209"/>
      <c r="O126" s="209"/>
      <c r="P126" s="209"/>
      <c r="Q126" s="209"/>
      <c r="R126" s="209"/>
      <c r="S126" s="209"/>
      <c r="T126" s="209"/>
      <c r="U126" s="209"/>
      <c r="X126" s="3"/>
      <c r="Z126" s="3"/>
    </row>
    <row r="127" spans="2:26">
      <c r="B127" s="218" t="s">
        <v>160</v>
      </c>
      <c r="C127" s="218"/>
      <c r="D127" s="218"/>
      <c r="E127" s="218"/>
      <c r="F127" s="218"/>
      <c r="G127" s="218"/>
      <c r="H127" s="218"/>
      <c r="I127" s="218"/>
      <c r="J127" s="218"/>
      <c r="K127" s="218"/>
      <c r="L127" s="218"/>
      <c r="M127" s="218"/>
      <c r="N127" s="218"/>
      <c r="O127" s="218"/>
      <c r="P127" s="218">
        <f>MAX(P113:U126)</f>
        <v>50.573876453528676</v>
      </c>
      <c r="Q127" s="218"/>
      <c r="R127" s="218"/>
      <c r="S127" s="218"/>
      <c r="T127" s="218"/>
      <c r="U127" s="218"/>
    </row>
    <row r="128" spans="2:26">
      <c r="B128" s="6"/>
      <c r="C128" s="6"/>
      <c r="D128" s="6"/>
      <c r="E128" s="6"/>
      <c r="F128" s="6"/>
      <c r="G128" s="6"/>
      <c r="H128" s="6"/>
      <c r="I128" s="6"/>
      <c r="J128" s="6"/>
      <c r="K128" s="6"/>
      <c r="L128" s="6"/>
      <c r="M128" s="6"/>
      <c r="N128" s="6"/>
      <c r="O128" s="6"/>
      <c r="P128" s="6"/>
      <c r="Q128" s="6"/>
      <c r="R128" s="6"/>
      <c r="S128" s="6"/>
      <c r="T128" s="6"/>
      <c r="U128" s="6"/>
    </row>
    <row r="129" spans="1:22">
      <c r="B129" s="652"/>
      <c r="C129" s="652"/>
      <c r="D129" s="652" t="s">
        <v>284</v>
      </c>
      <c r="E129" s="652"/>
      <c r="F129" s="652"/>
      <c r="G129" s="652"/>
      <c r="H129" s="652"/>
      <c r="I129" s="652"/>
      <c r="J129" s="652"/>
      <c r="K129" s="652"/>
      <c r="L129" s="652"/>
      <c r="M129" s="652" t="s">
        <v>285</v>
      </c>
      <c r="N129" s="652"/>
      <c r="O129" s="652">
        <f>1.33*109.6</f>
        <v>145.768</v>
      </c>
      <c r="P129" s="652"/>
      <c r="Q129" s="652" t="s">
        <v>286</v>
      </c>
      <c r="R129" s="652">
        <f>0.9*0.85*203.2</f>
        <v>155.44800000000001</v>
      </c>
      <c r="S129" s="652"/>
      <c r="T129" s="6"/>
      <c r="U129" s="6"/>
    </row>
    <row r="130" spans="1:22">
      <c r="B130" s="652"/>
      <c r="C130" s="652"/>
      <c r="D130" s="652"/>
      <c r="E130" s="652"/>
      <c r="F130" s="652"/>
      <c r="G130" s="652"/>
      <c r="H130" s="652"/>
      <c r="I130" s="652"/>
      <c r="J130" s="652"/>
      <c r="K130" s="652"/>
      <c r="L130" s="652"/>
      <c r="M130" s="652"/>
      <c r="N130" s="652"/>
      <c r="O130" s="652"/>
      <c r="P130" s="652"/>
      <c r="Q130" s="652"/>
      <c r="R130" s="652"/>
      <c r="S130" s="652"/>
      <c r="T130" s="6"/>
      <c r="U130" s="6"/>
    </row>
    <row r="131" spans="1:22">
      <c r="B131" s="399" t="s">
        <v>118</v>
      </c>
      <c r="C131" s="399"/>
      <c r="D131" s="399"/>
      <c r="E131" s="399"/>
      <c r="F131" s="399"/>
      <c r="G131" s="399"/>
      <c r="H131" s="399"/>
      <c r="I131" s="399"/>
      <c r="J131" s="399"/>
      <c r="K131" s="399"/>
      <c r="L131" s="399"/>
      <c r="M131" s="399"/>
      <c r="N131" s="399"/>
      <c r="O131" s="399"/>
      <c r="P131" s="399"/>
      <c r="Q131" s="399"/>
      <c r="R131" s="399"/>
      <c r="S131" s="399"/>
      <c r="T131" s="399"/>
      <c r="U131" s="399"/>
    </row>
    <row r="132" spans="1:22">
      <c r="B132" s="399"/>
      <c r="C132" s="399"/>
      <c r="D132" s="399"/>
      <c r="E132" s="399"/>
      <c r="F132" s="399"/>
      <c r="G132" s="399"/>
      <c r="H132" s="399"/>
      <c r="I132" s="399"/>
      <c r="J132" s="399"/>
      <c r="K132" s="399"/>
      <c r="L132" s="399"/>
      <c r="M132" s="399"/>
      <c r="N132" s="399"/>
      <c r="O132" s="399"/>
      <c r="P132" s="399"/>
      <c r="Q132" s="399"/>
      <c r="R132" s="399"/>
      <c r="S132" s="399"/>
      <c r="T132" s="399"/>
      <c r="U132" s="399"/>
    </row>
    <row r="133" spans="1:22">
      <c r="B133" s="399"/>
      <c r="C133" s="399"/>
      <c r="D133" s="399"/>
      <c r="E133" s="399"/>
      <c r="F133" s="399"/>
      <c r="G133" s="399"/>
      <c r="H133" s="399"/>
      <c r="I133" s="399"/>
      <c r="J133" s="399"/>
      <c r="K133" s="399"/>
      <c r="L133" s="399"/>
      <c r="M133" s="399"/>
      <c r="N133" s="399"/>
      <c r="O133" s="399"/>
      <c r="P133" s="399"/>
      <c r="Q133" s="399"/>
      <c r="R133" s="399"/>
      <c r="S133" s="399"/>
      <c r="T133" s="399"/>
      <c r="U133" s="399"/>
    </row>
    <row r="134" spans="1:22">
      <c r="B134" s="399" t="s">
        <v>287</v>
      </c>
      <c r="C134" s="400"/>
      <c r="D134" s="400"/>
      <c r="E134" s="400"/>
      <c r="F134" s="400"/>
      <c r="G134" s="400"/>
      <c r="H134" s="400"/>
      <c r="I134" s="400"/>
      <c r="J134" s="400"/>
      <c r="K134" s="400"/>
      <c r="L134" s="400"/>
      <c r="M134" s="400"/>
      <c r="N134" s="400"/>
      <c r="O134" s="400"/>
      <c r="P134" s="400"/>
      <c r="Q134" s="400"/>
      <c r="R134" s="400"/>
      <c r="S134" s="400"/>
      <c r="T134" s="400"/>
      <c r="U134" s="400"/>
    </row>
    <row r="135" spans="1:22">
      <c r="B135" s="400"/>
      <c r="C135" s="400"/>
      <c r="D135" s="400"/>
      <c r="E135" s="400"/>
      <c r="F135" s="400"/>
      <c r="G135" s="400"/>
      <c r="H135" s="400"/>
      <c r="I135" s="400"/>
      <c r="J135" s="400"/>
      <c r="K135" s="400"/>
      <c r="L135" s="400"/>
      <c r="M135" s="400"/>
      <c r="N135" s="400"/>
      <c r="O135" s="400"/>
      <c r="P135" s="400"/>
      <c r="Q135" s="400"/>
      <c r="R135" s="400"/>
      <c r="S135" s="400"/>
      <c r="T135" s="400"/>
      <c r="U135" s="400"/>
    </row>
    <row r="136" spans="1:22">
      <c r="B136" s="400"/>
      <c r="C136" s="400"/>
      <c r="D136" s="400"/>
      <c r="E136" s="400"/>
      <c r="F136" s="400"/>
      <c r="G136" s="400"/>
      <c r="H136" s="400"/>
      <c r="I136" s="400"/>
      <c r="J136" s="400"/>
      <c r="K136" s="400"/>
      <c r="L136" s="400"/>
      <c r="M136" s="400"/>
      <c r="N136" s="400"/>
      <c r="O136" s="400"/>
      <c r="P136" s="400"/>
      <c r="Q136" s="400"/>
      <c r="R136" s="400"/>
      <c r="S136" s="400"/>
      <c r="T136" s="400"/>
      <c r="U136" s="400"/>
    </row>
    <row r="137" spans="1:22">
      <c r="B137" s="400"/>
      <c r="C137" s="400"/>
      <c r="D137" s="400"/>
      <c r="E137" s="400"/>
      <c r="F137" s="400"/>
      <c r="G137" s="400"/>
      <c r="H137" s="400"/>
      <c r="I137" s="400"/>
      <c r="J137" s="400"/>
      <c r="K137" s="400"/>
      <c r="L137" s="400"/>
      <c r="M137" s="400"/>
      <c r="N137" s="400"/>
      <c r="O137" s="400"/>
      <c r="P137" s="400"/>
      <c r="Q137" s="400"/>
      <c r="R137" s="400"/>
      <c r="S137" s="400"/>
      <c r="T137" s="400"/>
      <c r="U137" s="400"/>
    </row>
    <row r="138" spans="1:22">
      <c r="B138" s="400"/>
      <c r="C138" s="400"/>
      <c r="D138" s="400"/>
      <c r="E138" s="400"/>
      <c r="F138" s="400"/>
      <c r="G138" s="400"/>
      <c r="H138" s="400"/>
      <c r="I138" s="400"/>
      <c r="J138" s="400"/>
      <c r="K138" s="400"/>
      <c r="L138" s="400"/>
      <c r="M138" s="400"/>
      <c r="N138" s="400"/>
      <c r="O138" s="400"/>
      <c r="P138" s="400"/>
      <c r="Q138" s="400"/>
      <c r="R138" s="400"/>
      <c r="S138" s="400"/>
      <c r="T138" s="400"/>
      <c r="U138" s="400"/>
    </row>
    <row r="139" spans="1:22">
      <c r="B139" s="400"/>
      <c r="C139" s="400"/>
      <c r="D139" s="400"/>
      <c r="E139" s="400"/>
      <c r="F139" s="400"/>
      <c r="G139" s="400"/>
      <c r="H139" s="400"/>
      <c r="I139" s="400"/>
      <c r="J139" s="400"/>
      <c r="K139" s="400"/>
      <c r="L139" s="400"/>
      <c r="M139" s="400"/>
      <c r="N139" s="400"/>
      <c r="O139" s="400"/>
      <c r="P139" s="400"/>
      <c r="Q139" s="400"/>
      <c r="R139" s="400"/>
      <c r="S139" s="400"/>
      <c r="T139" s="400"/>
      <c r="U139" s="400"/>
    </row>
    <row r="140" spans="1:22">
      <c r="B140" s="400"/>
      <c r="C140" s="400"/>
      <c r="D140" s="400"/>
      <c r="E140" s="400"/>
      <c r="F140" s="400"/>
      <c r="G140" s="400"/>
      <c r="H140" s="400"/>
      <c r="I140" s="400"/>
      <c r="J140" s="400"/>
      <c r="K140" s="400"/>
      <c r="L140" s="400"/>
      <c r="M140" s="400"/>
      <c r="N140" s="400"/>
      <c r="O140" s="400"/>
      <c r="P140" s="400"/>
      <c r="Q140" s="400"/>
      <c r="R140" s="400"/>
      <c r="S140" s="400"/>
      <c r="T140" s="400"/>
      <c r="U140" s="400"/>
    </row>
    <row r="141" spans="1:22">
      <c r="B141" s="400"/>
      <c r="C141" s="400"/>
      <c r="D141" s="400"/>
      <c r="E141" s="400"/>
      <c r="F141" s="400"/>
      <c r="G141" s="400"/>
      <c r="H141" s="400"/>
      <c r="I141" s="400"/>
      <c r="J141" s="400"/>
      <c r="K141" s="400"/>
      <c r="L141" s="400"/>
      <c r="M141" s="400"/>
      <c r="N141" s="400"/>
      <c r="O141" s="400"/>
      <c r="P141" s="400"/>
      <c r="Q141" s="400"/>
      <c r="R141" s="400"/>
      <c r="S141" s="400"/>
      <c r="T141" s="400"/>
      <c r="U141" s="400"/>
    </row>
    <row r="142" spans="1:22">
      <c r="B142" s="14"/>
      <c r="C142" s="14"/>
      <c r="D142" s="14"/>
      <c r="E142" s="14"/>
      <c r="F142" s="14"/>
      <c r="G142" s="14"/>
      <c r="H142" s="14"/>
      <c r="I142" s="14"/>
      <c r="J142" s="14"/>
      <c r="K142" s="14"/>
      <c r="L142" s="14"/>
      <c r="M142" s="14"/>
      <c r="N142" s="14"/>
      <c r="O142" s="14"/>
      <c r="P142" s="14"/>
      <c r="Q142" s="14"/>
      <c r="R142" s="14"/>
      <c r="S142" s="14"/>
      <c r="T142" s="14"/>
      <c r="U142" s="14"/>
    </row>
    <row r="143" spans="1:22">
      <c r="B143" s="14"/>
      <c r="C143" s="14"/>
      <c r="D143" s="14"/>
      <c r="E143" s="14"/>
      <c r="F143" s="14"/>
      <c r="G143" s="14"/>
      <c r="H143" s="14"/>
      <c r="I143" s="14"/>
      <c r="J143" s="14"/>
      <c r="K143" s="14"/>
      <c r="L143" s="14"/>
      <c r="M143" s="14"/>
      <c r="N143" s="14"/>
      <c r="O143" s="14"/>
      <c r="P143" s="14"/>
      <c r="Q143" s="14"/>
      <c r="R143" s="14"/>
      <c r="S143" s="14"/>
      <c r="T143" s="14"/>
      <c r="U143" s="14"/>
    </row>
    <row r="144" spans="1:22">
      <c r="A144" s="218"/>
      <c r="B144" s="218"/>
      <c r="C144" s="218"/>
      <c r="D144" s="218"/>
      <c r="E144" s="218"/>
      <c r="F144" s="623" t="s">
        <v>0</v>
      </c>
      <c r="G144" s="623"/>
      <c r="H144" s="623"/>
      <c r="I144" s="623"/>
      <c r="J144" s="623"/>
      <c r="K144" s="623"/>
      <c r="L144" s="623"/>
      <c r="M144" s="623"/>
      <c r="N144" s="623"/>
      <c r="O144" s="623"/>
      <c r="P144" s="623"/>
      <c r="Q144" s="623"/>
      <c r="R144" s="209"/>
      <c r="S144" s="209"/>
      <c r="T144" s="209"/>
      <c r="U144" s="209"/>
      <c r="V144" s="209"/>
    </row>
    <row r="145" spans="1:22" ht="15" customHeight="1">
      <c r="A145" s="218"/>
      <c r="B145" s="218"/>
      <c r="C145" s="218"/>
      <c r="D145" s="218"/>
      <c r="E145" s="218"/>
      <c r="F145" s="623"/>
      <c r="G145" s="623"/>
      <c r="H145" s="623"/>
      <c r="I145" s="623"/>
      <c r="J145" s="623"/>
      <c r="K145" s="623"/>
      <c r="L145" s="623"/>
      <c r="M145" s="623"/>
      <c r="N145" s="623"/>
      <c r="O145" s="623"/>
      <c r="P145" s="623"/>
      <c r="Q145" s="623"/>
      <c r="R145" s="209"/>
      <c r="S145" s="209"/>
      <c r="T145" s="209"/>
      <c r="U145" s="209"/>
      <c r="V145" s="209"/>
    </row>
    <row r="146" spans="1:22" ht="15" customHeight="1">
      <c r="A146" s="218"/>
      <c r="B146" s="218"/>
      <c r="C146" s="218"/>
      <c r="D146" s="218"/>
      <c r="E146" s="218"/>
      <c r="F146" s="623"/>
      <c r="G146" s="623"/>
      <c r="H146" s="623"/>
      <c r="I146" s="623"/>
      <c r="J146" s="623"/>
      <c r="K146" s="623"/>
      <c r="L146" s="623"/>
      <c r="M146" s="623"/>
      <c r="N146" s="623"/>
      <c r="O146" s="623"/>
      <c r="P146" s="623"/>
      <c r="Q146" s="623"/>
      <c r="R146" s="209"/>
      <c r="S146" s="209"/>
      <c r="T146" s="209"/>
      <c r="U146" s="209"/>
      <c r="V146" s="209"/>
    </row>
    <row r="147" spans="1:22" ht="15" customHeight="1">
      <c r="A147" s="218"/>
      <c r="B147" s="218"/>
      <c r="C147" s="218"/>
      <c r="D147" s="218"/>
      <c r="E147" s="218"/>
      <c r="F147" s="623"/>
      <c r="G147" s="623"/>
      <c r="H147" s="623"/>
      <c r="I147" s="623"/>
      <c r="J147" s="623"/>
      <c r="K147" s="623"/>
      <c r="L147" s="623"/>
      <c r="M147" s="623"/>
      <c r="N147" s="623"/>
      <c r="O147" s="623"/>
      <c r="P147" s="623"/>
      <c r="Q147" s="623"/>
      <c r="R147" s="209"/>
      <c r="S147" s="209"/>
      <c r="T147" s="209"/>
      <c r="U147" s="209"/>
      <c r="V147" s="209"/>
    </row>
    <row r="148" spans="1:22" ht="15" customHeight="1">
      <c r="A148" s="218"/>
      <c r="B148" s="218"/>
      <c r="C148" s="218"/>
      <c r="D148" s="218"/>
      <c r="E148" s="218"/>
      <c r="F148" s="402" t="s">
        <v>209</v>
      </c>
      <c r="G148" s="402"/>
      <c r="H148" s="402"/>
      <c r="I148" s="402"/>
      <c r="J148" s="402"/>
      <c r="K148" s="402"/>
      <c r="L148" s="402"/>
      <c r="M148" s="402"/>
      <c r="N148" s="402"/>
      <c r="O148" s="402"/>
      <c r="P148" s="402"/>
      <c r="Q148" s="402"/>
      <c r="R148" s="209"/>
      <c r="S148" s="209"/>
      <c r="T148" s="209"/>
      <c r="U148" s="209"/>
      <c r="V148" s="209"/>
    </row>
    <row r="149" spans="1:22">
      <c r="A149" s="402" t="e">
        <f>A100</f>
        <v>#REF!</v>
      </c>
      <c r="B149" s="402"/>
      <c r="C149" s="402"/>
      <c r="D149" s="402"/>
      <c r="E149" s="402"/>
      <c r="F149" s="490" t="e">
        <f>F100</f>
        <v>#REF!</v>
      </c>
      <c r="G149" s="490"/>
      <c r="H149" s="490"/>
      <c r="I149" s="490"/>
      <c r="J149" s="490"/>
      <c r="K149" s="490"/>
      <c r="L149" s="490"/>
      <c r="M149" s="490"/>
      <c r="N149" s="490"/>
      <c r="O149" s="490"/>
      <c r="P149" s="490"/>
      <c r="Q149" s="490"/>
      <c r="R149" s="402" t="s">
        <v>202</v>
      </c>
      <c r="S149" s="402"/>
      <c r="T149" s="402"/>
      <c r="U149" s="402"/>
      <c r="V149" s="402"/>
    </row>
    <row r="150" spans="1:22">
      <c r="A150" s="402"/>
      <c r="B150" s="402"/>
      <c r="C150" s="402"/>
      <c r="D150" s="402"/>
      <c r="E150" s="402"/>
      <c r="F150" s="490"/>
      <c r="G150" s="490"/>
      <c r="H150" s="490"/>
      <c r="I150" s="490"/>
      <c r="J150" s="490"/>
      <c r="K150" s="490"/>
      <c r="L150" s="490"/>
      <c r="M150" s="490"/>
      <c r="N150" s="490"/>
      <c r="O150" s="490"/>
      <c r="P150" s="490"/>
      <c r="Q150" s="490"/>
      <c r="R150" s="402"/>
      <c r="S150" s="402"/>
      <c r="T150" s="402"/>
      <c r="U150" s="402"/>
      <c r="V150" s="402"/>
    </row>
    <row r="151" spans="1:22" ht="15" customHeight="1">
      <c r="A151" s="8"/>
      <c r="B151" s="9"/>
      <c r="C151" s="9"/>
      <c r="D151" s="9"/>
      <c r="E151" s="9"/>
      <c r="F151" s="9"/>
      <c r="G151" s="9"/>
      <c r="H151" s="9"/>
      <c r="I151" s="9"/>
      <c r="J151" s="9"/>
      <c r="K151" s="9"/>
      <c r="L151" s="9"/>
      <c r="M151" s="9"/>
      <c r="N151" s="9"/>
      <c r="O151" s="9"/>
      <c r="P151" s="9"/>
      <c r="Q151" s="9"/>
      <c r="R151" s="9"/>
      <c r="S151" s="9"/>
      <c r="T151" s="9"/>
      <c r="U151" s="9"/>
      <c r="V151" s="9"/>
    </row>
    <row r="152" spans="1:22">
      <c r="A152" s="3"/>
      <c r="B152" s="399" t="s">
        <v>288</v>
      </c>
      <c r="C152" s="400"/>
      <c r="D152" s="400"/>
      <c r="E152" s="400"/>
      <c r="F152" s="400"/>
      <c r="G152" s="400"/>
      <c r="H152" s="400"/>
      <c r="I152" s="400"/>
      <c r="J152" s="400"/>
      <c r="K152" s="400"/>
      <c r="L152" s="400"/>
      <c r="M152" s="400"/>
      <c r="N152" s="400"/>
      <c r="O152" s="400"/>
      <c r="P152" s="400"/>
      <c r="Q152" s="400"/>
      <c r="R152" s="400"/>
      <c r="S152" s="400"/>
      <c r="T152" s="400"/>
      <c r="U152" s="400"/>
      <c r="V152" s="3"/>
    </row>
    <row r="153" spans="1:22">
      <c r="A153" s="3"/>
      <c r="B153" s="400"/>
      <c r="C153" s="400"/>
      <c r="D153" s="400"/>
      <c r="E153" s="400"/>
      <c r="F153" s="400"/>
      <c r="G153" s="400"/>
      <c r="H153" s="400"/>
      <c r="I153" s="400"/>
      <c r="J153" s="400"/>
      <c r="K153" s="400"/>
      <c r="L153" s="400"/>
      <c r="M153" s="400"/>
      <c r="N153" s="400"/>
      <c r="O153" s="400"/>
      <c r="P153" s="400"/>
      <c r="Q153" s="400"/>
      <c r="R153" s="400"/>
      <c r="S153" s="400"/>
      <c r="T153" s="400"/>
      <c r="U153" s="400"/>
      <c r="V153" s="3"/>
    </row>
    <row r="154" spans="1:22">
      <c r="A154" s="3"/>
      <c r="B154" s="400"/>
      <c r="C154" s="400"/>
      <c r="D154" s="400"/>
      <c r="E154" s="400"/>
      <c r="F154" s="400"/>
      <c r="G154" s="400"/>
      <c r="H154" s="400"/>
      <c r="I154" s="400"/>
      <c r="J154" s="400"/>
      <c r="K154" s="400"/>
      <c r="L154" s="400"/>
      <c r="M154" s="400"/>
      <c r="N154" s="400"/>
      <c r="O154" s="400"/>
      <c r="P154" s="400"/>
      <c r="Q154" s="400"/>
      <c r="R154" s="400"/>
      <c r="S154" s="400"/>
      <c r="T154" s="400"/>
      <c r="U154" s="400"/>
      <c r="V154" s="3"/>
    </row>
    <row r="155" spans="1:22">
      <c r="A155" s="3"/>
      <c r="B155" s="400"/>
      <c r="C155" s="400"/>
      <c r="D155" s="400"/>
      <c r="E155" s="400"/>
      <c r="F155" s="400"/>
      <c r="G155" s="400"/>
      <c r="H155" s="400"/>
      <c r="I155" s="400"/>
      <c r="J155" s="400"/>
      <c r="K155" s="400"/>
      <c r="L155" s="400"/>
      <c r="M155" s="400"/>
      <c r="N155" s="400"/>
      <c r="O155" s="400"/>
      <c r="P155" s="400"/>
      <c r="Q155" s="400"/>
      <c r="R155" s="400"/>
      <c r="S155" s="400"/>
      <c r="T155" s="400"/>
      <c r="U155" s="400"/>
      <c r="V155" s="3"/>
    </row>
    <row r="156" spans="1:22">
      <c r="A156" s="3"/>
      <c r="B156" s="400"/>
      <c r="C156" s="400"/>
      <c r="D156" s="400"/>
      <c r="E156" s="400"/>
      <c r="F156" s="400"/>
      <c r="G156" s="400"/>
      <c r="H156" s="400"/>
      <c r="I156" s="400"/>
      <c r="J156" s="400"/>
      <c r="K156" s="400"/>
      <c r="L156" s="400"/>
      <c r="M156" s="400"/>
      <c r="N156" s="400"/>
      <c r="O156" s="400"/>
      <c r="P156" s="400"/>
      <c r="Q156" s="400"/>
      <c r="R156" s="400"/>
      <c r="S156" s="400"/>
      <c r="T156" s="400"/>
      <c r="U156" s="400"/>
      <c r="V156" s="3"/>
    </row>
    <row r="157" spans="1:22">
      <c r="A157" s="3"/>
      <c r="B157" s="400"/>
      <c r="C157" s="400"/>
      <c r="D157" s="400"/>
      <c r="E157" s="400"/>
      <c r="F157" s="400"/>
      <c r="G157" s="400"/>
      <c r="H157" s="400"/>
      <c r="I157" s="400"/>
      <c r="J157" s="400"/>
      <c r="K157" s="400"/>
      <c r="L157" s="400"/>
      <c r="M157" s="400"/>
      <c r="N157" s="400"/>
      <c r="O157" s="400"/>
      <c r="P157" s="400"/>
      <c r="Q157" s="400"/>
      <c r="R157" s="400"/>
      <c r="S157" s="400"/>
      <c r="T157" s="400"/>
      <c r="U157" s="400"/>
      <c r="V157" s="3"/>
    </row>
    <row r="158" spans="1:22">
      <c r="A158" s="3"/>
      <c r="B158" s="400"/>
      <c r="C158" s="400"/>
      <c r="D158" s="400"/>
      <c r="E158" s="400"/>
      <c r="F158" s="400"/>
      <c r="G158" s="400"/>
      <c r="H158" s="400"/>
      <c r="I158" s="400"/>
      <c r="J158" s="400"/>
      <c r="K158" s="400"/>
      <c r="L158" s="400"/>
      <c r="M158" s="400"/>
      <c r="N158" s="400"/>
      <c r="O158" s="400"/>
      <c r="P158" s="400"/>
      <c r="Q158" s="400"/>
      <c r="R158" s="400"/>
      <c r="S158" s="400"/>
      <c r="T158" s="400"/>
      <c r="U158" s="400"/>
      <c r="V158" s="3"/>
    </row>
    <row r="159" spans="1:22">
      <c r="A159" s="3"/>
      <c r="B159" s="400"/>
      <c r="C159" s="400"/>
      <c r="D159" s="400"/>
      <c r="E159" s="400"/>
      <c r="F159" s="400"/>
      <c r="G159" s="400"/>
      <c r="H159" s="400"/>
      <c r="I159" s="400"/>
      <c r="J159" s="400"/>
      <c r="K159" s="400"/>
      <c r="L159" s="400"/>
      <c r="M159" s="400"/>
      <c r="N159" s="400"/>
      <c r="O159" s="400"/>
      <c r="P159" s="400"/>
      <c r="Q159" s="400"/>
      <c r="R159" s="400"/>
      <c r="S159" s="400"/>
      <c r="T159" s="400"/>
      <c r="U159" s="400"/>
      <c r="V159" s="3"/>
    </row>
    <row r="160" spans="1:22">
      <c r="A160" s="3"/>
      <c r="B160" s="400"/>
      <c r="C160" s="400"/>
      <c r="D160" s="400"/>
      <c r="E160" s="400"/>
      <c r="F160" s="400"/>
      <c r="G160" s="400"/>
      <c r="H160" s="400"/>
      <c r="I160" s="400"/>
      <c r="J160" s="400"/>
      <c r="K160" s="400"/>
      <c r="L160" s="400"/>
      <c r="M160" s="400"/>
      <c r="N160" s="400"/>
      <c r="O160" s="400"/>
      <c r="P160" s="400"/>
      <c r="Q160" s="400"/>
      <c r="R160" s="400"/>
      <c r="S160" s="400"/>
      <c r="T160" s="400"/>
      <c r="U160" s="400"/>
      <c r="V160" s="3"/>
    </row>
    <row r="162" spans="2:21">
      <c r="B162" s="654" t="s">
        <v>119</v>
      </c>
      <c r="C162" s="654"/>
      <c r="D162" s="654"/>
      <c r="E162" s="654"/>
      <c r="F162" s="654"/>
      <c r="G162" s="654"/>
      <c r="H162" s="654"/>
      <c r="I162" s="654"/>
      <c r="J162" s="654"/>
      <c r="K162" s="654"/>
      <c r="L162" s="654"/>
      <c r="M162" s="654"/>
      <c r="N162" s="654"/>
      <c r="O162" s="654"/>
      <c r="P162" s="654"/>
      <c r="Q162" s="654"/>
    </row>
    <row r="163" spans="2:21">
      <c r="B163" s="654"/>
      <c r="C163" s="654"/>
      <c r="D163" s="654"/>
      <c r="E163" s="654"/>
      <c r="F163" s="654"/>
      <c r="G163" s="654"/>
      <c r="H163" s="654"/>
      <c r="I163" s="654"/>
      <c r="J163" s="654"/>
      <c r="K163" s="654"/>
      <c r="L163" s="654"/>
      <c r="M163" s="654"/>
      <c r="N163" s="654"/>
      <c r="O163" s="654"/>
      <c r="P163" s="654"/>
      <c r="Q163" s="654"/>
    </row>
    <row r="164" spans="2:21">
      <c r="B164" s="399" t="s">
        <v>120</v>
      </c>
      <c r="C164" s="399"/>
      <c r="D164" s="399"/>
      <c r="E164" s="399"/>
      <c r="F164" s="399"/>
      <c r="G164" s="399"/>
      <c r="H164" s="399"/>
      <c r="I164" s="399"/>
      <c r="J164" s="399"/>
      <c r="K164" s="399"/>
      <c r="L164" s="399"/>
      <c r="M164" s="399"/>
      <c r="N164" s="399"/>
      <c r="O164" s="399"/>
      <c r="P164" s="399"/>
      <c r="Q164" s="399"/>
      <c r="R164" s="399"/>
      <c r="S164" s="399"/>
      <c r="T164" s="399"/>
      <c r="U164" s="399"/>
    </row>
    <row r="165" spans="2:21">
      <c r="B165" s="399"/>
      <c r="C165" s="399"/>
      <c r="D165" s="399"/>
      <c r="E165" s="399"/>
      <c r="F165" s="399"/>
      <c r="G165" s="399"/>
      <c r="H165" s="399"/>
      <c r="I165" s="399"/>
      <c r="J165" s="399"/>
      <c r="K165" s="399"/>
      <c r="L165" s="399"/>
      <c r="M165" s="399"/>
      <c r="N165" s="399"/>
      <c r="O165" s="399"/>
      <c r="P165" s="399"/>
      <c r="Q165" s="399"/>
      <c r="R165" s="399"/>
      <c r="S165" s="399"/>
      <c r="T165" s="399"/>
      <c r="U165" s="399"/>
    </row>
    <row r="166" spans="2:21">
      <c r="B166" s="399"/>
      <c r="C166" s="399"/>
      <c r="D166" s="399"/>
      <c r="E166" s="399"/>
      <c r="F166" s="399"/>
      <c r="G166" s="399"/>
      <c r="H166" s="399"/>
      <c r="I166" s="399"/>
      <c r="J166" s="399"/>
      <c r="K166" s="399"/>
      <c r="L166" s="399"/>
      <c r="M166" s="399"/>
      <c r="N166" s="399"/>
      <c r="O166" s="399"/>
      <c r="P166" s="399"/>
      <c r="Q166" s="399"/>
      <c r="R166" s="399"/>
      <c r="S166" s="399"/>
      <c r="T166" s="399"/>
      <c r="U166" s="399"/>
    </row>
    <row r="167" spans="2:21">
      <c r="B167" s="353"/>
      <c r="C167" s="353"/>
      <c r="D167" s="353"/>
      <c r="E167" s="353"/>
      <c r="F167" s="353"/>
      <c r="G167" s="353"/>
      <c r="H167" s="353"/>
      <c r="I167" s="353"/>
      <c r="J167" s="353"/>
      <c r="K167" s="353"/>
      <c r="L167" s="274" t="e">
        <f>((('Anchorage ratio (J)'!D56*(1+(0.4*0.376)))+((1.273*'Seismic design'!D182)/(8.6^2)))*(1/(0.001*6.5)))/1000000</f>
        <v>#REF!</v>
      </c>
      <c r="M167" s="274"/>
      <c r="N167" s="274"/>
      <c r="O167" s="274"/>
      <c r="P167" s="274"/>
    </row>
    <row r="168" spans="2:21">
      <c r="B168" s="353"/>
      <c r="C168" s="353"/>
      <c r="D168" s="353"/>
      <c r="E168" s="353"/>
      <c r="F168" s="353"/>
      <c r="G168" s="353"/>
      <c r="H168" s="353"/>
      <c r="I168" s="353"/>
      <c r="J168" s="353"/>
      <c r="K168" s="353"/>
      <c r="L168" s="274"/>
      <c r="M168" s="274"/>
      <c r="N168" s="274"/>
      <c r="O168" s="274"/>
      <c r="P168" s="274"/>
      <c r="Q168" s="274" t="s">
        <v>68</v>
      </c>
      <c r="R168" s="274"/>
      <c r="S168" s="274"/>
    </row>
    <row r="169" spans="2:21">
      <c r="B169" s="353"/>
      <c r="C169" s="353"/>
      <c r="D169" s="353"/>
      <c r="E169" s="353"/>
      <c r="F169" s="353"/>
      <c r="G169" s="353"/>
      <c r="H169" s="353"/>
      <c r="I169" s="353"/>
      <c r="J169" s="353"/>
      <c r="K169" s="353"/>
      <c r="L169" s="274"/>
      <c r="M169" s="274"/>
      <c r="N169" s="274"/>
      <c r="O169" s="274"/>
      <c r="P169" s="274"/>
      <c r="Q169" s="274"/>
      <c r="R169" s="274"/>
      <c r="S169" s="274"/>
    </row>
    <row r="170" spans="2:21">
      <c r="B170" s="353"/>
      <c r="C170" s="353"/>
      <c r="D170" s="353"/>
      <c r="E170" s="353"/>
      <c r="F170" s="353"/>
      <c r="G170" s="353"/>
      <c r="H170" s="353"/>
      <c r="I170" s="353"/>
      <c r="J170" s="353"/>
      <c r="K170" s="353"/>
      <c r="L170" s="274"/>
      <c r="M170" s="274"/>
      <c r="N170" s="274"/>
      <c r="O170" s="274"/>
      <c r="P170" s="274"/>
    </row>
    <row r="171" spans="2:21">
      <c r="B171" s="399"/>
      <c r="C171" s="400"/>
      <c r="D171" s="400"/>
      <c r="E171" s="400"/>
      <c r="F171" s="400"/>
      <c r="G171" s="400"/>
      <c r="H171" s="400"/>
      <c r="I171" s="400"/>
      <c r="J171" s="400"/>
      <c r="K171" s="400"/>
      <c r="L171" s="400"/>
      <c r="M171" s="400"/>
      <c r="N171" s="400"/>
      <c r="O171" s="400"/>
      <c r="P171" s="400"/>
      <c r="Q171" s="400"/>
      <c r="R171" s="400"/>
      <c r="S171" s="400"/>
      <c r="T171" s="400"/>
    </row>
    <row r="172" spans="2:21">
      <c r="B172" s="400"/>
      <c r="C172" s="400"/>
      <c r="D172" s="400"/>
      <c r="E172" s="400"/>
      <c r="F172" s="400"/>
      <c r="G172" s="400"/>
      <c r="H172" s="400"/>
      <c r="I172" s="400"/>
      <c r="J172" s="400"/>
      <c r="K172" s="400"/>
      <c r="L172" s="400"/>
      <c r="M172" s="400"/>
      <c r="N172" s="400"/>
      <c r="O172" s="400"/>
      <c r="P172" s="400"/>
      <c r="Q172" s="400"/>
      <c r="R172" s="400"/>
      <c r="S172" s="400"/>
      <c r="T172" s="400"/>
    </row>
    <row r="173" spans="2:21">
      <c r="B173" s="400"/>
      <c r="C173" s="400"/>
      <c r="D173" s="400"/>
      <c r="E173" s="400"/>
      <c r="F173" s="400"/>
      <c r="G173" s="400"/>
      <c r="H173" s="400"/>
      <c r="I173" s="400"/>
      <c r="J173" s="400"/>
      <c r="K173" s="400"/>
      <c r="L173" s="400"/>
      <c r="M173" s="400"/>
      <c r="N173" s="400"/>
      <c r="O173" s="400"/>
      <c r="P173" s="400"/>
      <c r="Q173" s="400"/>
      <c r="R173" s="400"/>
      <c r="S173" s="400"/>
      <c r="T173" s="400"/>
    </row>
    <row r="174" spans="2:21">
      <c r="B174" s="400"/>
      <c r="C174" s="400"/>
      <c r="D174" s="400"/>
      <c r="E174" s="400"/>
      <c r="F174" s="400"/>
      <c r="G174" s="400"/>
      <c r="H174" s="400"/>
      <c r="I174" s="400"/>
      <c r="J174" s="400"/>
      <c r="K174" s="400"/>
      <c r="L174" s="400"/>
      <c r="M174" s="400"/>
      <c r="N174" s="400"/>
      <c r="O174" s="400"/>
      <c r="P174" s="400"/>
      <c r="Q174" s="400"/>
      <c r="R174" s="400"/>
      <c r="S174" s="400"/>
      <c r="T174" s="400"/>
    </row>
    <row r="175" spans="2:21" ht="15" customHeight="1">
      <c r="B175" s="655" t="s">
        <v>121</v>
      </c>
      <c r="C175" s="655"/>
      <c r="D175" s="655"/>
      <c r="E175" s="655"/>
      <c r="F175" s="655"/>
      <c r="G175" s="655"/>
      <c r="H175" s="655"/>
      <c r="I175" s="655"/>
      <c r="J175" s="655"/>
      <c r="K175" s="655"/>
      <c r="L175" s="655"/>
      <c r="M175" s="655"/>
      <c r="N175" s="655"/>
      <c r="O175" s="655"/>
      <c r="P175" s="655"/>
      <c r="Q175" s="655"/>
      <c r="R175" s="655"/>
      <c r="S175" s="655"/>
      <c r="T175" s="655"/>
    </row>
    <row r="176" spans="2:21">
      <c r="B176" s="655"/>
      <c r="C176" s="655"/>
      <c r="D176" s="655"/>
      <c r="E176" s="655"/>
      <c r="F176" s="655"/>
      <c r="G176" s="655"/>
      <c r="H176" s="655"/>
      <c r="I176" s="655"/>
      <c r="J176" s="655"/>
      <c r="K176" s="655"/>
      <c r="L176" s="655"/>
      <c r="M176" s="655"/>
      <c r="N176" s="655"/>
      <c r="O176" s="655"/>
      <c r="P176" s="655"/>
      <c r="Q176" s="655"/>
      <c r="R176" s="655"/>
      <c r="S176" s="655"/>
      <c r="T176" s="655"/>
    </row>
    <row r="177" spans="1:22">
      <c r="B177" s="655"/>
      <c r="C177" s="655"/>
      <c r="D177" s="655"/>
      <c r="E177" s="655"/>
      <c r="F177" s="655"/>
      <c r="G177" s="655"/>
      <c r="H177" s="655"/>
      <c r="I177" s="655"/>
      <c r="J177" s="655"/>
      <c r="K177" s="655"/>
      <c r="L177" s="655"/>
      <c r="M177" s="655"/>
      <c r="N177" s="655"/>
      <c r="O177" s="655"/>
      <c r="P177" s="655"/>
      <c r="Q177" s="655"/>
      <c r="R177" s="655"/>
      <c r="S177" s="655"/>
      <c r="T177" s="655"/>
    </row>
    <row r="178" spans="1:22">
      <c r="B178" s="655"/>
      <c r="C178" s="655"/>
      <c r="D178" s="655"/>
      <c r="E178" s="655"/>
      <c r="F178" s="655"/>
      <c r="G178" s="655"/>
      <c r="H178" s="655"/>
      <c r="I178" s="655"/>
      <c r="J178" s="655"/>
      <c r="K178" s="655"/>
      <c r="L178" s="655"/>
      <c r="M178" s="655"/>
      <c r="N178" s="655"/>
      <c r="O178" s="655"/>
      <c r="P178" s="655"/>
      <c r="Q178" s="655"/>
      <c r="R178" s="655"/>
      <c r="S178" s="655"/>
      <c r="T178" s="655"/>
    </row>
    <row r="179" spans="1:22">
      <c r="B179" s="353"/>
      <c r="C179" s="353"/>
      <c r="D179" s="353"/>
      <c r="E179" s="353"/>
      <c r="F179" s="353"/>
      <c r="G179" s="353"/>
      <c r="H179" s="353"/>
      <c r="I179" s="353"/>
      <c r="J179" s="353"/>
      <c r="K179" s="353"/>
      <c r="L179" s="353"/>
      <c r="M179" s="353"/>
      <c r="N179" s="353"/>
    </row>
    <row r="180" spans="1:22">
      <c r="B180" s="353"/>
      <c r="C180" s="353"/>
      <c r="D180" s="353"/>
      <c r="E180" s="353"/>
      <c r="F180" s="353"/>
      <c r="G180" s="353"/>
      <c r="H180" s="353"/>
      <c r="I180" s="353"/>
      <c r="J180" s="353"/>
      <c r="K180" s="353"/>
      <c r="L180" s="353"/>
      <c r="M180" s="353"/>
      <c r="N180" s="353"/>
    </row>
    <row r="181" spans="1:22">
      <c r="B181" s="353"/>
      <c r="C181" s="353"/>
      <c r="D181" s="353"/>
      <c r="E181" s="353"/>
      <c r="F181" s="353"/>
      <c r="G181" s="353"/>
      <c r="H181" s="353"/>
      <c r="I181" s="353"/>
      <c r="J181" s="353"/>
      <c r="K181" s="353"/>
      <c r="L181" s="353"/>
      <c r="M181" s="353"/>
      <c r="N181" s="353"/>
    </row>
    <row r="182" spans="1:22">
      <c r="B182" s="353"/>
      <c r="C182" s="353"/>
      <c r="D182" s="353"/>
      <c r="E182" s="353"/>
      <c r="F182" s="353"/>
      <c r="G182" s="353"/>
      <c r="H182" s="353"/>
      <c r="I182" s="353"/>
      <c r="J182" s="353"/>
      <c r="K182" s="353"/>
      <c r="L182" s="353"/>
      <c r="M182" s="353"/>
      <c r="N182" s="353"/>
    </row>
    <row r="183" spans="1:22">
      <c r="B183" s="353"/>
      <c r="C183" s="353"/>
      <c r="D183" s="353"/>
      <c r="E183" s="353"/>
      <c r="F183" s="353"/>
      <c r="G183" s="353"/>
      <c r="H183" s="353"/>
      <c r="I183" s="353"/>
      <c r="J183" s="353"/>
      <c r="K183" s="353"/>
      <c r="L183" s="353"/>
      <c r="M183" s="353"/>
      <c r="N183" s="353"/>
    </row>
    <row r="184" spans="1:22">
      <c r="B184" s="399" t="s">
        <v>289</v>
      </c>
      <c r="C184" s="400"/>
      <c r="D184" s="400"/>
      <c r="E184" s="400"/>
      <c r="F184" s="400"/>
      <c r="G184" s="400"/>
      <c r="H184" s="400"/>
      <c r="I184" s="400"/>
      <c r="J184" s="400"/>
      <c r="K184" s="400"/>
      <c r="L184" s="400"/>
      <c r="M184" s="400"/>
      <c r="N184" s="400"/>
      <c r="O184" s="400"/>
      <c r="P184" s="400"/>
      <c r="Q184" s="400"/>
      <c r="R184" s="400"/>
      <c r="S184" s="400"/>
      <c r="T184" s="400"/>
      <c r="U184" s="400"/>
    </row>
    <row r="185" spans="1:22">
      <c r="B185" s="400"/>
      <c r="C185" s="400"/>
      <c r="D185" s="400"/>
      <c r="E185" s="400"/>
      <c r="F185" s="400"/>
      <c r="G185" s="400"/>
      <c r="H185" s="400"/>
      <c r="I185" s="400"/>
      <c r="J185" s="400"/>
      <c r="K185" s="400"/>
      <c r="L185" s="400"/>
      <c r="M185" s="400"/>
      <c r="N185" s="400"/>
      <c r="O185" s="400"/>
      <c r="P185" s="400"/>
      <c r="Q185" s="400"/>
      <c r="R185" s="400"/>
      <c r="S185" s="400"/>
      <c r="T185" s="400"/>
      <c r="U185" s="400"/>
    </row>
    <row r="186" spans="1:22">
      <c r="B186" s="400"/>
      <c r="C186" s="400"/>
      <c r="D186" s="400"/>
      <c r="E186" s="400"/>
      <c r="F186" s="400"/>
      <c r="G186" s="400"/>
      <c r="H186" s="400"/>
      <c r="I186" s="400"/>
      <c r="J186" s="400"/>
      <c r="K186" s="400"/>
      <c r="L186" s="400"/>
      <c r="M186" s="400"/>
      <c r="N186" s="400"/>
      <c r="O186" s="400"/>
      <c r="P186" s="400"/>
      <c r="Q186" s="400"/>
      <c r="R186" s="400"/>
      <c r="S186" s="400"/>
      <c r="T186" s="400"/>
      <c r="U186" s="400"/>
    </row>
    <row r="187" spans="1:22">
      <c r="B187" s="400"/>
      <c r="C187" s="400"/>
      <c r="D187" s="400"/>
      <c r="E187" s="400"/>
      <c r="F187" s="400"/>
      <c r="G187" s="400"/>
      <c r="H187" s="400"/>
      <c r="I187" s="400"/>
      <c r="J187" s="400"/>
      <c r="K187" s="400"/>
      <c r="L187" s="400"/>
      <c r="M187" s="400"/>
      <c r="N187" s="400"/>
      <c r="O187" s="400"/>
      <c r="P187" s="400"/>
      <c r="Q187" s="400"/>
      <c r="R187" s="400"/>
      <c r="S187" s="400"/>
      <c r="T187" s="400"/>
      <c r="U187" s="400"/>
    </row>
    <row r="188" spans="1:22">
      <c r="B188" s="400"/>
      <c r="C188" s="400"/>
      <c r="D188" s="400"/>
      <c r="E188" s="400"/>
      <c r="F188" s="400"/>
      <c r="G188" s="400"/>
      <c r="H188" s="400"/>
      <c r="I188" s="400"/>
      <c r="J188" s="400"/>
      <c r="K188" s="400"/>
      <c r="L188" s="400"/>
      <c r="M188" s="400"/>
      <c r="N188" s="400"/>
      <c r="O188" s="400"/>
      <c r="P188" s="400"/>
      <c r="Q188" s="400"/>
      <c r="R188" s="400"/>
      <c r="S188" s="400"/>
      <c r="T188" s="400"/>
      <c r="U188" s="400"/>
    </row>
    <row r="189" spans="1:22">
      <c r="B189" s="400"/>
      <c r="C189" s="400"/>
      <c r="D189" s="400"/>
      <c r="E189" s="400"/>
      <c r="F189" s="400"/>
      <c r="G189" s="400"/>
      <c r="H189" s="400"/>
      <c r="I189" s="400"/>
      <c r="J189" s="400"/>
      <c r="K189" s="400"/>
      <c r="L189" s="400"/>
      <c r="M189" s="400"/>
      <c r="N189" s="400"/>
      <c r="O189" s="400"/>
      <c r="P189" s="400"/>
      <c r="Q189" s="400"/>
      <c r="R189" s="400"/>
      <c r="S189" s="400"/>
      <c r="T189" s="400"/>
      <c r="U189" s="400"/>
    </row>
    <row r="191" spans="1:22" ht="15" customHeight="1">
      <c r="A191" s="396"/>
      <c r="B191" s="396"/>
      <c r="C191" s="396"/>
      <c r="D191" s="396"/>
      <c r="E191" s="396"/>
      <c r="F191" s="394" t="s">
        <v>0</v>
      </c>
      <c r="G191" s="394"/>
      <c r="H191" s="394"/>
      <c r="I191" s="394"/>
      <c r="J191" s="394"/>
      <c r="K191" s="394"/>
      <c r="L191" s="394"/>
      <c r="M191" s="394"/>
      <c r="N191" s="394"/>
      <c r="O191" s="394"/>
      <c r="P191" s="394"/>
      <c r="Q191" s="394"/>
      <c r="R191" s="396"/>
      <c r="S191" s="396"/>
      <c r="T191" s="396"/>
      <c r="U191" s="396"/>
      <c r="V191" s="396"/>
    </row>
    <row r="192" spans="1:22" ht="15" customHeight="1">
      <c r="A192" s="396"/>
      <c r="B192" s="396"/>
      <c r="C192" s="396"/>
      <c r="D192" s="396"/>
      <c r="E192" s="396"/>
      <c r="F192" s="394"/>
      <c r="G192" s="394"/>
      <c r="H192" s="394"/>
      <c r="I192" s="394"/>
      <c r="J192" s="394"/>
      <c r="K192" s="394"/>
      <c r="L192" s="394"/>
      <c r="M192" s="394"/>
      <c r="N192" s="394"/>
      <c r="O192" s="394"/>
      <c r="P192" s="394"/>
      <c r="Q192" s="394"/>
      <c r="R192" s="396"/>
      <c r="S192" s="396"/>
      <c r="T192" s="396"/>
      <c r="U192" s="396"/>
      <c r="V192" s="396"/>
    </row>
    <row r="193" spans="1:22" ht="15" customHeight="1">
      <c r="A193" s="396"/>
      <c r="B193" s="396"/>
      <c r="C193" s="396"/>
      <c r="D193" s="396"/>
      <c r="E193" s="396"/>
      <c r="F193" s="394"/>
      <c r="G193" s="394"/>
      <c r="H193" s="394"/>
      <c r="I193" s="394"/>
      <c r="J193" s="394"/>
      <c r="K193" s="394"/>
      <c r="L193" s="394"/>
      <c r="M193" s="394"/>
      <c r="N193" s="394"/>
      <c r="O193" s="394"/>
      <c r="P193" s="394"/>
      <c r="Q193" s="394"/>
      <c r="R193" s="396"/>
      <c r="S193" s="396"/>
      <c r="T193" s="396"/>
      <c r="U193" s="396"/>
      <c r="V193" s="396"/>
    </row>
    <row r="194" spans="1:22" ht="15" customHeight="1">
      <c r="A194" s="396"/>
      <c r="B194" s="396"/>
      <c r="C194" s="396"/>
      <c r="D194" s="396"/>
      <c r="E194" s="396"/>
      <c r="F194" s="394"/>
      <c r="G194" s="394"/>
      <c r="H194" s="394"/>
      <c r="I194" s="394"/>
      <c r="J194" s="394"/>
      <c r="K194" s="394"/>
      <c r="L194" s="394"/>
      <c r="M194" s="394"/>
      <c r="N194" s="394"/>
      <c r="O194" s="394"/>
      <c r="P194" s="394"/>
      <c r="Q194" s="394"/>
      <c r="R194" s="396"/>
      <c r="S194" s="396"/>
      <c r="T194" s="396"/>
      <c r="U194" s="396"/>
      <c r="V194" s="396"/>
    </row>
    <row r="195" spans="1:22" ht="15" customHeight="1">
      <c r="A195" s="396"/>
      <c r="B195" s="396"/>
      <c r="C195" s="396"/>
      <c r="D195" s="396"/>
      <c r="E195" s="396"/>
      <c r="F195" s="402" t="s">
        <v>209</v>
      </c>
      <c r="G195" s="402"/>
      <c r="H195" s="402"/>
      <c r="I195" s="402"/>
      <c r="J195" s="402"/>
      <c r="K195" s="402"/>
      <c r="L195" s="402"/>
      <c r="M195" s="402"/>
      <c r="N195" s="402"/>
      <c r="O195" s="402"/>
      <c r="P195" s="402"/>
      <c r="Q195" s="402"/>
      <c r="R195" s="396"/>
      <c r="S195" s="396"/>
      <c r="T195" s="396"/>
      <c r="U195" s="396"/>
      <c r="V195" s="396"/>
    </row>
    <row r="196" spans="1:22">
      <c r="A196" s="402" t="e">
        <f>A149</f>
        <v>#REF!</v>
      </c>
      <c r="B196" s="402"/>
      <c r="C196" s="402"/>
      <c r="D196" s="402"/>
      <c r="E196" s="402"/>
      <c r="F196" s="490" t="e">
        <f>F149</f>
        <v>#REF!</v>
      </c>
      <c r="G196" s="490"/>
      <c r="H196" s="490"/>
      <c r="I196" s="490"/>
      <c r="J196" s="490"/>
      <c r="K196" s="490"/>
      <c r="L196" s="490"/>
      <c r="M196" s="490"/>
      <c r="N196" s="490"/>
      <c r="O196" s="490"/>
      <c r="P196" s="490"/>
      <c r="Q196" s="490"/>
      <c r="R196" s="402" t="s">
        <v>198</v>
      </c>
      <c r="S196" s="402"/>
      <c r="T196" s="402"/>
      <c r="U196" s="402"/>
      <c r="V196" s="402"/>
    </row>
    <row r="197" spans="1:22">
      <c r="A197" s="402"/>
      <c r="B197" s="402"/>
      <c r="C197" s="402"/>
      <c r="D197" s="402"/>
      <c r="E197" s="402"/>
      <c r="F197" s="490"/>
      <c r="G197" s="490"/>
      <c r="H197" s="490"/>
      <c r="I197" s="490"/>
      <c r="J197" s="490"/>
      <c r="K197" s="490"/>
      <c r="L197" s="490"/>
      <c r="M197" s="490"/>
      <c r="N197" s="490"/>
      <c r="O197" s="490"/>
      <c r="P197" s="490"/>
      <c r="Q197" s="490"/>
      <c r="R197" s="402"/>
      <c r="S197" s="402"/>
      <c r="T197" s="402"/>
      <c r="U197" s="402"/>
      <c r="V197" s="402"/>
    </row>
    <row r="199" spans="1:22">
      <c r="B199" s="514" t="s">
        <v>122</v>
      </c>
      <c r="C199" s="514"/>
      <c r="D199" s="514"/>
      <c r="E199" s="514"/>
      <c r="F199" s="514"/>
      <c r="G199" s="514"/>
      <c r="H199" s="514"/>
      <c r="I199" s="514"/>
    </row>
    <row r="200" spans="1:22">
      <c r="B200" s="514"/>
      <c r="C200" s="514"/>
      <c r="D200" s="514"/>
      <c r="E200" s="514"/>
      <c r="F200" s="514"/>
      <c r="G200" s="514"/>
      <c r="H200" s="514"/>
      <c r="I200" s="514"/>
    </row>
    <row r="201" spans="1:22">
      <c r="B201" s="399" t="s">
        <v>123</v>
      </c>
      <c r="C201" s="399"/>
      <c r="D201" s="399"/>
      <c r="E201" s="399"/>
      <c r="F201" s="399"/>
      <c r="G201" s="399"/>
      <c r="H201" s="399"/>
      <c r="I201" s="399"/>
      <c r="J201" s="399"/>
      <c r="K201" s="399"/>
      <c r="L201" s="399"/>
      <c r="M201" s="399"/>
      <c r="N201" s="399"/>
      <c r="O201" s="399"/>
      <c r="P201" s="399"/>
      <c r="Q201" s="399"/>
      <c r="R201" s="399"/>
      <c r="S201" s="399"/>
      <c r="T201" s="399"/>
      <c r="U201" s="399"/>
    </row>
    <row r="202" spans="1:22">
      <c r="B202" s="399"/>
      <c r="C202" s="399"/>
      <c r="D202" s="399"/>
      <c r="E202" s="399"/>
      <c r="F202" s="399"/>
      <c r="G202" s="399"/>
      <c r="H202" s="399"/>
      <c r="I202" s="399"/>
      <c r="J202" s="399"/>
      <c r="K202" s="399"/>
      <c r="L202" s="399"/>
      <c r="M202" s="399"/>
      <c r="N202" s="399"/>
      <c r="O202" s="399"/>
      <c r="P202" s="399"/>
      <c r="Q202" s="399"/>
      <c r="R202" s="399"/>
      <c r="S202" s="399"/>
      <c r="T202" s="399"/>
      <c r="U202" s="399"/>
    </row>
    <row r="203" spans="1:22">
      <c r="B203" s="399"/>
      <c r="C203" s="399"/>
      <c r="D203" s="399"/>
      <c r="E203" s="399"/>
      <c r="F203" s="399"/>
      <c r="G203" s="399"/>
      <c r="H203" s="399"/>
      <c r="I203" s="399"/>
      <c r="J203" s="399"/>
      <c r="K203" s="399"/>
      <c r="L203" s="399"/>
      <c r="M203" s="399"/>
      <c r="N203" s="399"/>
      <c r="O203" s="399"/>
      <c r="P203" s="399"/>
      <c r="Q203" s="399"/>
      <c r="R203" s="399"/>
      <c r="S203" s="399"/>
      <c r="T203" s="399"/>
      <c r="U203" s="399"/>
    </row>
    <row r="204" spans="1:22">
      <c r="B204" s="353"/>
      <c r="C204" s="353"/>
      <c r="D204" s="353"/>
      <c r="E204" s="353"/>
      <c r="F204" s="353"/>
      <c r="G204" s="353"/>
      <c r="H204" s="353"/>
      <c r="I204" s="353"/>
      <c r="J204" s="353"/>
      <c r="K204" s="353"/>
      <c r="L204" s="353"/>
      <c r="M204" s="353"/>
      <c r="N204" s="353"/>
      <c r="O204" s="274" t="s">
        <v>290</v>
      </c>
      <c r="P204" s="274"/>
    </row>
    <row r="205" spans="1:22">
      <c r="B205" s="353"/>
      <c r="C205" s="353"/>
      <c r="D205" s="353"/>
      <c r="E205" s="353"/>
      <c r="F205" s="353"/>
      <c r="G205" s="353"/>
      <c r="H205" s="353"/>
      <c r="I205" s="353"/>
      <c r="J205" s="353"/>
      <c r="K205" s="353"/>
      <c r="L205" s="353"/>
      <c r="M205" s="353"/>
      <c r="N205" s="353"/>
      <c r="O205" s="274"/>
      <c r="P205" s="274"/>
    </row>
    <row r="206" spans="1:22" ht="15" customHeight="1">
      <c r="B206" s="5"/>
      <c r="C206" s="5"/>
      <c r="D206" s="5"/>
      <c r="E206" s="5"/>
      <c r="F206" s="5"/>
      <c r="G206" s="5"/>
      <c r="H206" s="5"/>
      <c r="I206" s="5"/>
      <c r="J206" s="5"/>
      <c r="K206" s="5"/>
      <c r="L206" s="5"/>
      <c r="M206" s="5"/>
      <c r="N206" s="5"/>
      <c r="O206" s="5"/>
      <c r="P206" s="5"/>
      <c r="Q206" s="5"/>
      <c r="R206" s="5"/>
      <c r="S206" s="5"/>
      <c r="T206" s="5"/>
      <c r="U206" s="5"/>
    </row>
    <row r="207" spans="1:22">
      <c r="B207" s="652"/>
      <c r="C207" s="652"/>
      <c r="D207" s="652">
        <f>0.4*('Seismic design'!Q122+'Seismic design'!Q124+'Seismic design'!Q126+'Seismic design'!Q130)*(1-(0.4*0.376))</f>
        <v>4414008.8385130661</v>
      </c>
      <c r="E207" s="652"/>
      <c r="F207" s="652"/>
      <c r="G207" s="652"/>
      <c r="H207" s="652"/>
      <c r="I207" s="652"/>
      <c r="J207" s="652"/>
      <c r="K207" s="652" t="s">
        <v>214</v>
      </c>
      <c r="L207" s="426" t="str">
        <f>IF(D207&gt;N207,"&gt;","&lt;")</f>
        <v>&gt;</v>
      </c>
      <c r="M207" s="426"/>
      <c r="N207" s="652">
        <f>'Seismic design'!R132</f>
        <v>3665777.7366535966</v>
      </c>
      <c r="O207" s="652"/>
      <c r="P207" s="652"/>
      <c r="Q207" s="5"/>
      <c r="R207" s="5"/>
      <c r="S207" s="5"/>
      <c r="T207" s="5"/>
      <c r="U207" s="5"/>
    </row>
    <row r="208" spans="1:22">
      <c r="B208" s="652"/>
      <c r="C208" s="652"/>
      <c r="D208" s="652"/>
      <c r="E208" s="652"/>
      <c r="F208" s="652"/>
      <c r="G208" s="652"/>
      <c r="H208" s="652"/>
      <c r="I208" s="652"/>
      <c r="J208" s="652"/>
      <c r="K208" s="652"/>
      <c r="L208" s="426"/>
      <c r="M208" s="426"/>
      <c r="N208" s="652"/>
      <c r="O208" s="652"/>
      <c r="P208" s="652"/>
      <c r="Q208" s="5"/>
      <c r="R208" s="5"/>
      <c r="S208" s="5"/>
      <c r="T208" s="5"/>
      <c r="U208" s="5"/>
    </row>
    <row r="209" spans="2:21">
      <c r="B209" s="653" t="str">
        <f>IF(D207&gt;N207,"Vs &gt; V so Tank is stable against Seismic Sliding then self ancher is ok","Vs &lt; V so Tank is not stable against Seismic Sliding then self ancher is Nok")</f>
        <v>Vs &gt; V so Tank is stable against Seismic Sliding then self ancher is ok</v>
      </c>
      <c r="C209" s="653"/>
      <c r="D209" s="653"/>
      <c r="E209" s="653"/>
      <c r="F209" s="653"/>
      <c r="G209" s="653"/>
      <c r="H209" s="653"/>
      <c r="I209" s="653"/>
      <c r="J209" s="653"/>
      <c r="K209" s="653"/>
      <c r="L209" s="653"/>
      <c r="M209" s="653"/>
      <c r="N209" s="653"/>
      <c r="O209" s="653"/>
      <c r="P209" s="653"/>
      <c r="Q209" s="653"/>
      <c r="R209" s="653"/>
      <c r="S209" s="653"/>
      <c r="T209" s="653"/>
    </row>
    <row r="210" spans="2:21">
      <c r="B210" s="653"/>
      <c r="C210" s="653"/>
      <c r="D210" s="653"/>
      <c r="E210" s="653"/>
      <c r="F210" s="653"/>
      <c r="G210" s="653"/>
      <c r="H210" s="653"/>
      <c r="I210" s="653"/>
      <c r="J210" s="653"/>
      <c r="K210" s="653"/>
      <c r="L210" s="653"/>
      <c r="M210" s="653"/>
      <c r="N210" s="653"/>
      <c r="O210" s="653"/>
      <c r="P210" s="653"/>
      <c r="Q210" s="653"/>
      <c r="R210" s="653"/>
      <c r="S210" s="653"/>
      <c r="T210" s="653"/>
    </row>
    <row r="211" spans="2:21">
      <c r="B211" s="514" t="s">
        <v>124</v>
      </c>
      <c r="C211" s="514"/>
      <c r="D211" s="514"/>
      <c r="E211" s="514"/>
      <c r="F211" s="514"/>
      <c r="G211" s="514"/>
      <c r="H211" s="514"/>
      <c r="I211" s="514"/>
      <c r="J211" s="514"/>
      <c r="K211" s="514"/>
      <c r="L211" s="514"/>
      <c r="M211" s="514"/>
      <c r="N211" s="514"/>
      <c r="O211" s="514"/>
      <c r="P211" s="514"/>
    </row>
    <row r="212" spans="2:21">
      <c r="B212" s="514"/>
      <c r="C212" s="514"/>
      <c r="D212" s="514"/>
      <c r="E212" s="514"/>
      <c r="F212" s="514"/>
      <c r="G212" s="514"/>
      <c r="H212" s="514"/>
      <c r="I212" s="514"/>
      <c r="J212" s="514"/>
      <c r="K212" s="514"/>
      <c r="L212" s="514"/>
      <c r="M212" s="514"/>
      <c r="N212" s="514"/>
      <c r="O212" s="514"/>
      <c r="P212" s="514"/>
    </row>
    <row r="213" spans="2:21">
      <c r="B213" s="353"/>
      <c r="C213" s="353"/>
      <c r="D213" s="353"/>
      <c r="E213" s="353"/>
      <c r="F213" s="353"/>
      <c r="G213" s="353"/>
      <c r="H213" s="353"/>
      <c r="I213" s="353"/>
      <c r="J213" s="353"/>
      <c r="K213" s="353"/>
      <c r="L213" s="353"/>
      <c r="M213" s="353"/>
      <c r="N213" s="353"/>
      <c r="O213" s="353"/>
      <c r="P213" s="353"/>
    </row>
    <row r="214" spans="2:21">
      <c r="B214" s="353"/>
      <c r="C214" s="353"/>
      <c r="D214" s="353"/>
      <c r="E214" s="353"/>
      <c r="F214" s="353"/>
      <c r="G214" s="353"/>
      <c r="H214" s="353"/>
      <c r="I214" s="353"/>
      <c r="J214" s="353"/>
      <c r="K214" s="353"/>
      <c r="L214" s="353"/>
      <c r="M214" s="353"/>
      <c r="N214" s="353"/>
      <c r="O214" s="353"/>
      <c r="P214" s="353"/>
    </row>
    <row r="215" spans="2:21">
      <c r="B215" s="353"/>
      <c r="C215" s="353"/>
      <c r="D215" s="353"/>
      <c r="E215" s="353"/>
      <c r="F215" s="353"/>
      <c r="G215" s="353"/>
      <c r="H215" s="353"/>
      <c r="I215" s="353"/>
      <c r="J215" s="353"/>
      <c r="K215" s="353"/>
      <c r="L215" s="353"/>
      <c r="M215" s="353"/>
      <c r="N215" s="353"/>
      <c r="O215" s="353"/>
      <c r="P215" s="353"/>
    </row>
    <row r="216" spans="2:21">
      <c r="B216" s="353"/>
      <c r="C216" s="353"/>
      <c r="D216" s="353"/>
      <c r="E216" s="353"/>
      <c r="F216" s="353"/>
      <c r="G216" s="353"/>
      <c r="H216" s="353"/>
      <c r="I216" s="353"/>
      <c r="J216" s="353"/>
      <c r="K216" s="353"/>
      <c r="L216" s="353"/>
      <c r="M216" s="353"/>
      <c r="N216" s="353"/>
      <c r="O216" s="353"/>
      <c r="P216" s="353"/>
    </row>
    <row r="217" spans="2:21">
      <c r="B217" s="353"/>
      <c r="C217" s="353"/>
      <c r="D217" s="353"/>
      <c r="E217" s="353"/>
      <c r="F217" s="353"/>
      <c r="G217" s="353"/>
      <c r="H217" s="353"/>
      <c r="I217" s="353"/>
      <c r="J217" s="353"/>
      <c r="K217" s="353"/>
      <c r="L217" s="353"/>
      <c r="M217" s="353"/>
      <c r="N217" s="353"/>
      <c r="O217" s="353"/>
      <c r="P217" s="353"/>
    </row>
    <row r="218" spans="2:21">
      <c r="B218" s="353"/>
      <c r="C218" s="353"/>
      <c r="D218" s="353"/>
      <c r="E218" s="353"/>
      <c r="F218" s="353"/>
      <c r="G218" s="353"/>
      <c r="H218" s="353"/>
      <c r="I218" s="353"/>
      <c r="J218" s="353"/>
      <c r="K218" s="353"/>
      <c r="L218" s="353"/>
      <c r="M218" s="353"/>
      <c r="N218" s="353"/>
      <c r="O218" s="353"/>
      <c r="P218" s="353"/>
    </row>
    <row r="219" spans="2:21">
      <c r="B219" s="353"/>
      <c r="C219" s="353"/>
      <c r="D219" s="353"/>
      <c r="E219" s="353"/>
      <c r="F219" s="353"/>
      <c r="G219" s="353"/>
      <c r="H219" s="353"/>
      <c r="I219" s="353"/>
      <c r="J219" s="353"/>
      <c r="K219" s="353"/>
      <c r="L219" s="353"/>
      <c r="M219" s="353"/>
      <c r="N219" s="353"/>
      <c r="O219" s="353"/>
      <c r="P219" s="353"/>
    </row>
    <row r="220" spans="2:21" ht="15" customHeight="1">
      <c r="B220" s="515" t="s">
        <v>240</v>
      </c>
      <c r="C220" s="515"/>
      <c r="D220" s="515"/>
      <c r="E220" s="515"/>
      <c r="F220" s="515"/>
      <c r="G220" s="515"/>
      <c r="H220" s="515"/>
      <c r="I220" s="515"/>
      <c r="J220" s="515"/>
      <c r="K220" s="515"/>
      <c r="L220" s="515"/>
      <c r="M220" s="515"/>
      <c r="N220" s="515"/>
      <c r="O220" s="515"/>
      <c r="P220" s="515"/>
      <c r="Q220" s="3"/>
      <c r="R220" s="3"/>
      <c r="S220" s="3"/>
      <c r="T220" s="3"/>
      <c r="U220" s="3"/>
    </row>
    <row r="221" spans="2:21">
      <c r="B221" s="515"/>
      <c r="C221" s="515"/>
      <c r="D221" s="515"/>
      <c r="E221" s="515"/>
      <c r="F221" s="515"/>
      <c r="G221" s="515"/>
      <c r="H221" s="515"/>
      <c r="I221" s="515"/>
      <c r="J221" s="515"/>
      <c r="K221" s="515"/>
      <c r="L221" s="515"/>
      <c r="M221" s="515"/>
      <c r="N221" s="515"/>
      <c r="O221" s="515"/>
      <c r="P221" s="515"/>
      <c r="Q221" s="3"/>
      <c r="R221" s="3"/>
      <c r="S221" s="3"/>
      <c r="T221" s="3"/>
      <c r="U221" s="3"/>
    </row>
    <row r="222" spans="2:21">
      <c r="B222" s="515"/>
      <c r="C222" s="515"/>
      <c r="D222" s="515"/>
      <c r="E222" s="515"/>
      <c r="F222" s="515"/>
      <c r="G222" s="515"/>
      <c r="H222" s="515"/>
      <c r="I222" s="515"/>
      <c r="J222" s="515"/>
      <c r="K222" s="515"/>
      <c r="L222" s="515"/>
      <c r="M222" s="515"/>
      <c r="N222" s="515"/>
      <c r="O222" s="515"/>
      <c r="P222" s="515"/>
      <c r="Q222" s="3"/>
      <c r="R222" s="3"/>
      <c r="S222" s="3"/>
      <c r="T222" s="3"/>
      <c r="U222" s="3"/>
    </row>
    <row r="223" spans="2:21">
      <c r="B223" s="515"/>
      <c r="C223" s="515"/>
      <c r="D223" s="515"/>
      <c r="E223" s="515"/>
      <c r="F223" s="515"/>
      <c r="G223" s="515"/>
      <c r="H223" s="515"/>
      <c r="I223" s="515"/>
      <c r="J223" s="515"/>
      <c r="K223" s="515"/>
      <c r="L223" s="515"/>
      <c r="M223" s="515"/>
      <c r="N223" s="515"/>
      <c r="O223" s="515"/>
      <c r="P223" s="515"/>
      <c r="Q223" s="3"/>
      <c r="R223" s="3"/>
      <c r="S223" s="3"/>
      <c r="T223" s="3"/>
      <c r="U223" s="3"/>
    </row>
    <row r="224" spans="2:21">
      <c r="B224" s="515"/>
      <c r="C224" s="515"/>
      <c r="D224" s="515"/>
      <c r="E224" s="515"/>
      <c r="F224" s="515"/>
      <c r="G224" s="515"/>
      <c r="H224" s="515"/>
      <c r="I224" s="515"/>
      <c r="J224" s="515"/>
      <c r="K224" s="515"/>
      <c r="L224" s="515"/>
      <c r="M224" s="515"/>
      <c r="N224" s="515"/>
      <c r="O224" s="515"/>
      <c r="P224" s="515"/>
      <c r="Q224" s="3"/>
      <c r="R224" s="3"/>
      <c r="S224" s="3"/>
      <c r="T224" s="3"/>
      <c r="U224" s="3"/>
    </row>
    <row r="225" spans="1:22">
      <c r="B225" s="515"/>
      <c r="C225" s="515"/>
      <c r="D225" s="515"/>
      <c r="E225" s="515"/>
      <c r="F225" s="515"/>
      <c r="G225" s="515"/>
      <c r="H225" s="515"/>
      <c r="I225" s="515"/>
      <c r="J225" s="515"/>
      <c r="K225" s="515"/>
      <c r="L225" s="515"/>
      <c r="M225" s="515"/>
      <c r="N225" s="515"/>
      <c r="O225" s="515"/>
      <c r="P225" s="515"/>
      <c r="Q225" s="3"/>
      <c r="R225" s="3"/>
      <c r="S225" s="3"/>
      <c r="T225" s="3"/>
      <c r="U225" s="3"/>
    </row>
    <row r="226" spans="1:22">
      <c r="B226" s="274"/>
      <c r="C226" s="274"/>
      <c r="D226" s="274"/>
      <c r="E226" s="274"/>
      <c r="F226" s="274"/>
      <c r="G226" s="274"/>
      <c r="H226" s="274"/>
      <c r="I226" s="274"/>
      <c r="J226" s="274"/>
      <c r="K226" s="274"/>
      <c r="L226" s="274"/>
      <c r="M226" s="274"/>
      <c r="N226" s="274"/>
      <c r="O226" s="274"/>
      <c r="P226" s="274"/>
      <c r="Q226" s="274"/>
      <c r="R226" s="274"/>
      <c r="S226" s="274"/>
      <c r="T226" s="3"/>
      <c r="U226" s="3"/>
    </row>
    <row r="227" spans="1:22">
      <c r="B227" s="274"/>
      <c r="C227" s="274"/>
      <c r="D227" s="274"/>
      <c r="E227" s="274"/>
      <c r="F227" s="274"/>
      <c r="G227" s="274"/>
      <c r="H227" s="274"/>
      <c r="I227" s="274"/>
      <c r="J227" s="274"/>
      <c r="K227" s="274"/>
      <c r="L227" s="274"/>
      <c r="M227" s="274"/>
      <c r="N227" s="274"/>
      <c r="O227" s="274"/>
      <c r="P227" s="274"/>
      <c r="Q227" s="274"/>
      <c r="R227" s="274"/>
      <c r="S227" s="274"/>
      <c r="T227" s="3"/>
      <c r="U227" s="3"/>
    </row>
    <row r="228" spans="1:22">
      <c r="B228" s="274"/>
      <c r="C228" s="274"/>
      <c r="D228" s="274"/>
      <c r="E228" s="274"/>
      <c r="F228" s="274"/>
      <c r="G228" s="274"/>
      <c r="H228" s="274"/>
      <c r="I228" s="274"/>
      <c r="J228" s="274"/>
      <c r="K228" s="274"/>
      <c r="L228" s="274"/>
      <c r="M228" s="274"/>
      <c r="N228" s="274"/>
      <c r="O228" s="274"/>
      <c r="P228" s="274"/>
      <c r="Q228" s="274"/>
      <c r="R228" s="274"/>
      <c r="S228" s="274"/>
      <c r="T228" s="3"/>
      <c r="U228" s="3"/>
    </row>
    <row r="229" spans="1:22">
      <c r="B229" s="274"/>
      <c r="C229" s="274"/>
      <c r="D229" s="274"/>
      <c r="E229" s="274"/>
      <c r="F229" s="274"/>
      <c r="G229" s="274"/>
      <c r="H229" s="274"/>
      <c r="I229" s="274"/>
      <c r="J229" s="274"/>
      <c r="K229" s="274"/>
      <c r="L229" s="274"/>
      <c r="M229" s="274"/>
      <c r="N229" s="274"/>
      <c r="O229" s="274"/>
      <c r="P229" s="274"/>
      <c r="Q229" s="274"/>
      <c r="R229" s="274"/>
      <c r="S229" s="274"/>
    </row>
    <row r="230" spans="1:22">
      <c r="B230" s="274"/>
      <c r="C230" s="274"/>
      <c r="D230" s="274"/>
      <c r="E230" s="274"/>
      <c r="F230" s="274"/>
      <c r="G230" s="274"/>
      <c r="H230" s="274"/>
      <c r="I230" s="274"/>
      <c r="J230" s="274"/>
      <c r="K230" s="274"/>
      <c r="L230" s="274"/>
      <c r="M230" s="274"/>
      <c r="N230" s="274"/>
      <c r="O230" s="274"/>
      <c r="P230" s="274"/>
      <c r="Q230" s="274"/>
      <c r="R230" s="274"/>
      <c r="S230" s="274"/>
    </row>
    <row r="231" spans="1:22">
      <c r="B231" s="274"/>
      <c r="C231" s="274"/>
      <c r="D231" s="274"/>
      <c r="E231" s="274"/>
      <c r="F231" s="274"/>
      <c r="G231" s="274"/>
      <c r="H231" s="274"/>
      <c r="I231" s="274"/>
      <c r="J231" s="274"/>
      <c r="K231" s="274"/>
      <c r="L231" s="274"/>
      <c r="M231" s="274"/>
      <c r="N231" s="274"/>
      <c r="O231" s="274"/>
      <c r="P231" s="274"/>
      <c r="Q231" s="274"/>
      <c r="R231" s="274"/>
      <c r="S231" s="274"/>
    </row>
    <row r="232" spans="1:22">
      <c r="B232" s="274"/>
      <c r="C232" s="274"/>
      <c r="D232" s="274"/>
      <c r="E232" s="274"/>
      <c r="F232" s="274"/>
      <c r="G232" s="274"/>
      <c r="H232" s="274"/>
      <c r="I232" s="274"/>
      <c r="J232" s="274"/>
      <c r="K232" s="274"/>
      <c r="L232" s="274"/>
      <c r="M232" s="274"/>
      <c r="N232" s="274"/>
      <c r="O232" s="274"/>
      <c r="P232" s="274"/>
      <c r="Q232" s="274"/>
      <c r="R232" s="274"/>
      <c r="S232" s="274"/>
    </row>
    <row r="233" spans="1:22">
      <c r="B233" s="274"/>
      <c r="C233" s="274"/>
      <c r="D233" s="274"/>
      <c r="E233" s="274"/>
      <c r="F233" s="274"/>
      <c r="G233" s="274"/>
      <c r="H233" s="274"/>
      <c r="I233" s="274"/>
      <c r="J233" s="274"/>
      <c r="K233" s="274"/>
      <c r="L233" s="274"/>
      <c r="M233" s="274"/>
      <c r="N233" s="274"/>
      <c r="O233" s="274"/>
      <c r="P233" s="274"/>
      <c r="Q233" s="274"/>
      <c r="R233" s="274"/>
      <c r="S233" s="274"/>
    </row>
    <row r="234" spans="1:22">
      <c r="B234" s="274"/>
      <c r="C234" s="274"/>
      <c r="D234" s="274"/>
      <c r="E234" s="274"/>
      <c r="F234" s="274"/>
      <c r="G234" s="274"/>
      <c r="H234" s="274"/>
      <c r="I234" s="274"/>
      <c r="J234" s="274"/>
      <c r="K234" s="274"/>
      <c r="L234" s="274"/>
      <c r="M234" s="274"/>
      <c r="N234" s="274"/>
      <c r="O234" s="274"/>
      <c r="P234" s="274"/>
      <c r="Q234" s="274"/>
      <c r="R234" s="274"/>
      <c r="S234" s="274"/>
    </row>
    <row r="235" spans="1:22">
      <c r="B235" s="274"/>
      <c r="C235" s="274"/>
      <c r="D235" s="274"/>
      <c r="E235" s="274"/>
      <c r="F235" s="274"/>
      <c r="G235" s="274"/>
      <c r="H235" s="274"/>
      <c r="I235" s="274"/>
      <c r="J235" s="274"/>
      <c r="K235" s="274"/>
      <c r="L235" s="274"/>
      <c r="M235" s="274"/>
      <c r="N235" s="274"/>
      <c r="O235" s="274"/>
      <c r="P235" s="274"/>
      <c r="Q235" s="274"/>
      <c r="R235" s="274"/>
      <c r="S235" s="274"/>
    </row>
    <row r="236" spans="1:22">
      <c r="B236" s="274"/>
      <c r="C236" s="274"/>
      <c r="D236" s="274"/>
      <c r="E236" s="274"/>
      <c r="F236" s="274"/>
      <c r="G236" s="274"/>
      <c r="H236" s="274"/>
      <c r="I236" s="274"/>
      <c r="J236" s="274"/>
      <c r="K236" s="274"/>
      <c r="L236" s="274"/>
      <c r="M236" s="274"/>
      <c r="N236" s="274"/>
      <c r="O236" s="274"/>
      <c r="P236" s="274"/>
      <c r="Q236" s="274"/>
      <c r="R236" s="274"/>
      <c r="S236" s="274"/>
    </row>
    <row r="238" spans="1:22" ht="15" customHeight="1">
      <c r="A238" s="396"/>
      <c r="B238" s="396"/>
      <c r="C238" s="396"/>
      <c r="D238" s="396"/>
      <c r="E238" s="396"/>
      <c r="F238" s="394" t="s">
        <v>0</v>
      </c>
      <c r="G238" s="394"/>
      <c r="H238" s="394"/>
      <c r="I238" s="394"/>
      <c r="J238" s="394"/>
      <c r="K238" s="394"/>
      <c r="L238" s="394"/>
      <c r="M238" s="394"/>
      <c r="N238" s="394"/>
      <c r="O238" s="394"/>
      <c r="P238" s="394"/>
      <c r="Q238" s="394"/>
      <c r="R238" s="396"/>
      <c r="S238" s="396"/>
      <c r="T238" s="396"/>
      <c r="U238" s="396"/>
      <c r="V238" s="396"/>
    </row>
    <row r="239" spans="1:22" ht="15" customHeight="1">
      <c r="A239" s="396"/>
      <c r="B239" s="396"/>
      <c r="C239" s="396"/>
      <c r="D239" s="396"/>
      <c r="E239" s="396"/>
      <c r="F239" s="394"/>
      <c r="G239" s="394"/>
      <c r="H239" s="394"/>
      <c r="I239" s="394"/>
      <c r="J239" s="394"/>
      <c r="K239" s="394"/>
      <c r="L239" s="394"/>
      <c r="M239" s="394"/>
      <c r="N239" s="394"/>
      <c r="O239" s="394"/>
      <c r="P239" s="394"/>
      <c r="Q239" s="394"/>
      <c r="R239" s="396"/>
      <c r="S239" s="396"/>
      <c r="T239" s="396"/>
      <c r="U239" s="396"/>
      <c r="V239" s="396"/>
    </row>
    <row r="240" spans="1:22" ht="15" customHeight="1">
      <c r="A240" s="396"/>
      <c r="B240" s="396"/>
      <c r="C240" s="396"/>
      <c r="D240" s="396"/>
      <c r="E240" s="396"/>
      <c r="F240" s="394"/>
      <c r="G240" s="394"/>
      <c r="H240" s="394"/>
      <c r="I240" s="394"/>
      <c r="J240" s="394"/>
      <c r="K240" s="394"/>
      <c r="L240" s="394"/>
      <c r="M240" s="394"/>
      <c r="N240" s="394"/>
      <c r="O240" s="394"/>
      <c r="P240" s="394"/>
      <c r="Q240" s="394"/>
      <c r="R240" s="396"/>
      <c r="S240" s="396"/>
      <c r="T240" s="396"/>
      <c r="U240" s="396"/>
      <c r="V240" s="396"/>
    </row>
    <row r="241" spans="1:22" ht="15" customHeight="1">
      <c r="A241" s="396"/>
      <c r="B241" s="396"/>
      <c r="C241" s="396"/>
      <c r="D241" s="396"/>
      <c r="E241" s="396"/>
      <c r="F241" s="394"/>
      <c r="G241" s="394"/>
      <c r="H241" s="394"/>
      <c r="I241" s="394"/>
      <c r="J241" s="394"/>
      <c r="K241" s="394"/>
      <c r="L241" s="394"/>
      <c r="M241" s="394"/>
      <c r="N241" s="394"/>
      <c r="O241" s="394"/>
      <c r="P241" s="394"/>
      <c r="Q241" s="394"/>
      <c r="R241" s="396"/>
      <c r="S241" s="396"/>
      <c r="T241" s="396"/>
      <c r="U241" s="396"/>
      <c r="V241" s="396"/>
    </row>
    <row r="242" spans="1:22" ht="15" customHeight="1">
      <c r="A242" s="396"/>
      <c r="B242" s="396"/>
      <c r="C242" s="396"/>
      <c r="D242" s="396"/>
      <c r="E242" s="396"/>
      <c r="F242" s="402" t="s">
        <v>209</v>
      </c>
      <c r="G242" s="402"/>
      <c r="H242" s="402"/>
      <c r="I242" s="402"/>
      <c r="J242" s="402"/>
      <c r="K242" s="402"/>
      <c r="L242" s="402"/>
      <c r="M242" s="402"/>
      <c r="N242" s="402"/>
      <c r="O242" s="402"/>
      <c r="P242" s="402"/>
      <c r="Q242" s="402"/>
      <c r="R242" s="396"/>
      <c r="S242" s="396"/>
      <c r="T242" s="396"/>
      <c r="U242" s="396"/>
      <c r="V242" s="396"/>
    </row>
    <row r="243" spans="1:22">
      <c r="A243" s="402" t="e">
        <f>A196</f>
        <v>#REF!</v>
      </c>
      <c r="B243" s="402"/>
      <c r="C243" s="402"/>
      <c r="D243" s="402"/>
      <c r="E243" s="402"/>
      <c r="F243" s="490" t="e">
        <f>F196</f>
        <v>#REF!</v>
      </c>
      <c r="G243" s="490"/>
      <c r="H243" s="490"/>
      <c r="I243" s="490"/>
      <c r="J243" s="490"/>
      <c r="K243" s="490"/>
      <c r="L243" s="490"/>
      <c r="M243" s="490"/>
      <c r="N243" s="490"/>
      <c r="O243" s="490"/>
      <c r="P243" s="490"/>
      <c r="Q243" s="490"/>
      <c r="R243" s="402" t="s">
        <v>197</v>
      </c>
      <c r="S243" s="402"/>
      <c r="T243" s="402"/>
      <c r="U243" s="402"/>
      <c r="V243" s="402"/>
    </row>
    <row r="244" spans="1:22">
      <c r="A244" s="402"/>
      <c r="B244" s="402"/>
      <c r="C244" s="402"/>
      <c r="D244" s="402"/>
      <c r="E244" s="402"/>
      <c r="F244" s="490"/>
      <c r="G244" s="490"/>
      <c r="H244" s="490"/>
      <c r="I244" s="490"/>
      <c r="J244" s="490"/>
      <c r="K244" s="490"/>
      <c r="L244" s="490"/>
      <c r="M244" s="490"/>
      <c r="N244" s="490"/>
      <c r="O244" s="490"/>
      <c r="P244" s="490"/>
      <c r="Q244" s="490"/>
      <c r="R244" s="402"/>
      <c r="S244" s="402"/>
      <c r="T244" s="402"/>
      <c r="U244" s="402"/>
      <c r="V244" s="402"/>
    </row>
    <row r="246" spans="1:22">
      <c r="B246" s="374" t="s">
        <v>125</v>
      </c>
      <c r="C246" s="374"/>
      <c r="D246" s="374"/>
      <c r="E246" s="374"/>
      <c r="F246" s="374"/>
      <c r="G246" s="374"/>
      <c r="H246" s="374"/>
    </row>
    <row r="247" spans="1:22">
      <c r="B247" s="374"/>
      <c r="C247" s="374"/>
      <c r="D247" s="374"/>
      <c r="E247" s="374"/>
      <c r="F247" s="374"/>
      <c r="G247" s="374"/>
      <c r="H247" s="374"/>
    </row>
    <row r="248" spans="1:22">
      <c r="B248" s="399" t="s">
        <v>241</v>
      </c>
      <c r="C248" s="400"/>
      <c r="D248" s="400"/>
      <c r="E248" s="400"/>
      <c r="F248" s="400"/>
      <c r="G248" s="400"/>
      <c r="H248" s="400"/>
      <c r="I248" s="400"/>
      <c r="J248" s="400"/>
      <c r="K248" s="400"/>
      <c r="L248" s="400"/>
      <c r="M248" s="400"/>
      <c r="N248" s="400"/>
      <c r="O248" s="400"/>
      <c r="P248" s="400"/>
      <c r="Q248" s="400"/>
      <c r="R248" s="400"/>
      <c r="S248" s="400"/>
      <c r="T248" s="400"/>
    </row>
    <row r="249" spans="1:22">
      <c r="B249" s="400"/>
      <c r="C249" s="400"/>
      <c r="D249" s="400"/>
      <c r="E249" s="400"/>
      <c r="F249" s="400"/>
      <c r="G249" s="400"/>
      <c r="H249" s="400"/>
      <c r="I249" s="400"/>
      <c r="J249" s="400"/>
      <c r="K249" s="400"/>
      <c r="L249" s="400"/>
      <c r="M249" s="400"/>
      <c r="N249" s="400"/>
      <c r="O249" s="400"/>
      <c r="P249" s="400"/>
      <c r="Q249" s="400"/>
      <c r="R249" s="400"/>
      <c r="S249" s="400"/>
      <c r="T249" s="400"/>
    </row>
    <row r="250" spans="1:22">
      <c r="B250" s="400"/>
      <c r="C250" s="400"/>
      <c r="D250" s="400"/>
      <c r="E250" s="400"/>
      <c r="F250" s="400"/>
      <c r="G250" s="400"/>
      <c r="H250" s="400"/>
      <c r="I250" s="400"/>
      <c r="J250" s="400"/>
      <c r="K250" s="400"/>
      <c r="L250" s="400"/>
      <c r="M250" s="400"/>
      <c r="N250" s="400"/>
      <c r="O250" s="400"/>
      <c r="P250" s="400"/>
      <c r="Q250" s="400"/>
      <c r="R250" s="400"/>
      <c r="S250" s="400"/>
      <c r="T250" s="400"/>
    </row>
    <row r="251" spans="1:22">
      <c r="B251" s="400"/>
      <c r="C251" s="400"/>
      <c r="D251" s="400"/>
      <c r="E251" s="400"/>
      <c r="F251" s="400"/>
      <c r="G251" s="400"/>
      <c r="H251" s="400"/>
      <c r="I251" s="400"/>
      <c r="J251" s="400"/>
      <c r="K251" s="400"/>
      <c r="L251" s="400"/>
      <c r="M251" s="400"/>
      <c r="N251" s="400"/>
      <c r="O251" s="400"/>
      <c r="P251" s="400"/>
      <c r="Q251" s="400"/>
      <c r="R251" s="400"/>
      <c r="S251" s="400"/>
      <c r="T251" s="400"/>
    </row>
    <row r="252" spans="1:22">
      <c r="B252" s="400"/>
      <c r="C252" s="400"/>
      <c r="D252" s="400"/>
      <c r="E252" s="400"/>
      <c r="F252" s="400"/>
      <c r="G252" s="400"/>
      <c r="H252" s="400"/>
      <c r="I252" s="400"/>
      <c r="J252" s="400"/>
      <c r="K252" s="400"/>
      <c r="L252" s="400"/>
      <c r="M252" s="400"/>
      <c r="N252" s="400"/>
      <c r="O252" s="400"/>
      <c r="P252" s="400"/>
      <c r="Q252" s="400"/>
      <c r="R252" s="400"/>
      <c r="S252" s="400"/>
      <c r="T252" s="400"/>
    </row>
    <row r="253" spans="1:22">
      <c r="B253" s="400"/>
      <c r="C253" s="400"/>
      <c r="D253" s="400"/>
      <c r="E253" s="400"/>
      <c r="F253" s="400"/>
      <c r="G253" s="400"/>
      <c r="H253" s="400"/>
      <c r="I253" s="400"/>
      <c r="J253" s="400"/>
      <c r="K253" s="400"/>
      <c r="L253" s="400"/>
      <c r="M253" s="400"/>
      <c r="N253" s="400"/>
      <c r="O253" s="400"/>
      <c r="P253" s="400"/>
      <c r="Q253" s="400"/>
      <c r="R253" s="400"/>
      <c r="S253" s="400"/>
      <c r="T253" s="400"/>
    </row>
    <row r="254" spans="1:22">
      <c r="B254" s="353"/>
      <c r="C254" s="353"/>
      <c r="D254" s="353"/>
      <c r="E254" s="353"/>
      <c r="F254" s="353"/>
      <c r="G254" s="353"/>
      <c r="H254" s="353"/>
      <c r="I254" s="353"/>
      <c r="J254" s="353"/>
      <c r="K254" s="353"/>
      <c r="L254" s="353"/>
      <c r="M254" s="353"/>
      <c r="N254" s="353"/>
      <c r="O254" s="353"/>
      <c r="P254" s="353"/>
      <c r="Q254" s="353"/>
      <c r="R254" s="353"/>
      <c r="S254" s="353"/>
      <c r="T254" s="353"/>
    </row>
    <row r="255" spans="1:22">
      <c r="B255" s="353"/>
      <c r="C255" s="353"/>
      <c r="D255" s="353"/>
      <c r="E255" s="353"/>
      <c r="F255" s="353"/>
      <c r="G255" s="353"/>
      <c r="H255" s="353"/>
      <c r="I255" s="353"/>
      <c r="J255" s="353"/>
      <c r="K255" s="353"/>
      <c r="L255" s="353"/>
      <c r="M255" s="353"/>
      <c r="N255" s="353"/>
      <c r="O255" s="353"/>
      <c r="P255" s="353"/>
      <c r="Q255" s="353"/>
      <c r="R255" s="353"/>
      <c r="S255" s="353"/>
      <c r="T255" s="353"/>
    </row>
    <row r="256" spans="1:22">
      <c r="B256" s="353"/>
      <c r="C256" s="353"/>
      <c r="D256" s="353"/>
      <c r="E256" s="353"/>
      <c r="F256" s="353"/>
      <c r="G256" s="353"/>
      <c r="H256" s="353"/>
      <c r="I256" s="353"/>
      <c r="J256" s="353"/>
      <c r="K256" s="353"/>
      <c r="L256" s="353"/>
      <c r="M256" s="353"/>
      <c r="N256" s="353"/>
      <c r="O256" s="353"/>
      <c r="P256" s="353"/>
      <c r="Q256" s="353"/>
      <c r="R256" s="353"/>
      <c r="S256" s="353"/>
      <c r="T256" s="353"/>
    </row>
    <row r="257" spans="2:21">
      <c r="B257" s="353"/>
      <c r="C257" s="353"/>
      <c r="D257" s="353"/>
      <c r="E257" s="353"/>
      <c r="F257" s="353"/>
      <c r="G257" s="353"/>
      <c r="H257" s="353"/>
      <c r="I257" s="353"/>
      <c r="J257" s="353"/>
      <c r="K257" s="353"/>
      <c r="L257" s="353"/>
      <c r="M257" s="353"/>
      <c r="N257" s="353"/>
      <c r="O257" s="353"/>
      <c r="P257" s="353"/>
      <c r="Q257" s="353"/>
      <c r="R257" s="353"/>
      <c r="S257" s="353"/>
      <c r="T257" s="353"/>
    </row>
    <row r="258" spans="2:21">
      <c r="B258" s="353"/>
      <c r="C258" s="353"/>
      <c r="D258" s="353"/>
      <c r="E258" s="353"/>
      <c r="F258" s="353"/>
      <c r="G258" s="353"/>
      <c r="H258" s="353"/>
      <c r="I258" s="353"/>
      <c r="J258" s="353"/>
      <c r="K258" s="353"/>
      <c r="L258" s="353"/>
      <c r="M258" s="353"/>
      <c r="N258" s="353"/>
      <c r="O258" s="353"/>
      <c r="P258" s="353"/>
      <c r="Q258" s="353"/>
      <c r="R258" s="353"/>
      <c r="S258" s="353"/>
      <c r="T258" s="353"/>
    </row>
    <row r="259" spans="2:21">
      <c r="B259" s="353"/>
      <c r="C259" s="353"/>
      <c r="D259" s="353"/>
      <c r="E259" s="353"/>
      <c r="F259" s="353"/>
      <c r="G259" s="353"/>
      <c r="H259" s="353"/>
      <c r="I259" s="353"/>
      <c r="J259" s="353"/>
      <c r="K259" s="353"/>
      <c r="L259" s="353"/>
      <c r="M259" s="353"/>
      <c r="N259" s="353"/>
      <c r="O259" s="353"/>
      <c r="P259" s="353"/>
      <c r="Q259" s="353"/>
      <c r="R259" s="353"/>
      <c r="S259" s="353"/>
      <c r="T259" s="353"/>
    </row>
    <row r="260" spans="2:21">
      <c r="B260" s="353"/>
      <c r="C260" s="353"/>
      <c r="D260" s="353"/>
      <c r="E260" s="353"/>
      <c r="F260" s="353"/>
      <c r="G260" s="353"/>
      <c r="H260" s="353"/>
      <c r="I260" s="353"/>
      <c r="J260" s="353"/>
      <c r="K260" s="353"/>
      <c r="L260" s="353"/>
      <c r="M260" s="353"/>
      <c r="N260" s="353"/>
      <c r="O260" s="353"/>
      <c r="P260" s="353"/>
      <c r="Q260" s="353"/>
      <c r="R260" s="353"/>
      <c r="S260" s="353"/>
      <c r="T260" s="353"/>
    </row>
    <row r="261" spans="2:21">
      <c r="B261" s="353"/>
      <c r="C261" s="353"/>
      <c r="D261" s="353"/>
      <c r="E261" s="353"/>
      <c r="F261" s="353"/>
      <c r="G261" s="353"/>
      <c r="H261" s="353"/>
      <c r="I261" s="353"/>
      <c r="J261" s="353"/>
      <c r="K261" s="353"/>
      <c r="L261" s="353"/>
      <c r="M261" s="353"/>
      <c r="N261" s="353"/>
      <c r="O261" s="353"/>
      <c r="P261" s="353"/>
      <c r="Q261" s="353"/>
      <c r="R261" s="353"/>
      <c r="S261" s="353"/>
      <c r="T261" s="353"/>
    </row>
    <row r="262" spans="2:21">
      <c r="B262" s="353"/>
      <c r="C262" s="353"/>
      <c r="D262" s="353"/>
      <c r="E262" s="353"/>
      <c r="F262" s="353"/>
      <c r="G262" s="353"/>
      <c r="H262" s="353"/>
      <c r="I262" s="353"/>
      <c r="J262" s="353"/>
      <c r="K262" s="353"/>
      <c r="L262" s="353"/>
      <c r="M262" s="353"/>
      <c r="N262" s="353"/>
      <c r="O262" s="353"/>
      <c r="P262" s="353"/>
      <c r="Q262" s="353"/>
      <c r="R262" s="353"/>
      <c r="S262" s="353"/>
      <c r="T262" s="353"/>
    </row>
    <row r="263" spans="2:21">
      <c r="B263" s="353"/>
      <c r="C263" s="353"/>
      <c r="D263" s="353"/>
      <c r="E263" s="353"/>
      <c r="F263" s="353"/>
      <c r="G263" s="353"/>
      <c r="H263" s="353"/>
      <c r="I263" s="353"/>
      <c r="J263" s="353"/>
      <c r="K263" s="353"/>
      <c r="L263" s="353"/>
      <c r="M263" s="353"/>
      <c r="N263" s="353"/>
      <c r="O263" s="353"/>
      <c r="P263" s="353"/>
      <c r="Q263" s="353"/>
      <c r="R263" s="353"/>
      <c r="S263" s="353"/>
      <c r="T263" s="353"/>
    </row>
    <row r="264" spans="2:21">
      <c r="B264" s="353"/>
      <c r="C264" s="353"/>
      <c r="D264" s="353"/>
      <c r="E264" s="353"/>
      <c r="F264" s="353"/>
      <c r="G264" s="353"/>
      <c r="H264" s="353"/>
      <c r="I264" s="353"/>
      <c r="J264" s="353"/>
      <c r="K264" s="353"/>
      <c r="L264" s="353"/>
      <c r="M264" s="353"/>
      <c r="N264" s="353"/>
      <c r="O264" s="353"/>
      <c r="P264" s="353"/>
      <c r="Q264" s="353"/>
      <c r="R264" s="353"/>
      <c r="S264" s="353"/>
      <c r="T264" s="353"/>
    </row>
    <row r="265" spans="2:21">
      <c r="B265" s="353"/>
      <c r="C265" s="353"/>
      <c r="D265" s="353"/>
      <c r="E265" s="353"/>
      <c r="F265" s="353"/>
      <c r="G265" s="353"/>
      <c r="H265" s="353"/>
      <c r="I265" s="353"/>
      <c r="J265" s="353"/>
      <c r="K265" s="353"/>
      <c r="L265" s="353"/>
      <c r="M265" s="353"/>
      <c r="N265" s="353"/>
      <c r="O265" s="353"/>
      <c r="P265" s="353"/>
      <c r="Q265" s="353"/>
      <c r="R265" s="353"/>
      <c r="S265" s="353"/>
      <c r="T265" s="353"/>
    </row>
    <row r="266" spans="2:21">
      <c r="B266" s="353"/>
      <c r="C266" s="353"/>
      <c r="D266" s="353"/>
      <c r="E266" s="353"/>
      <c r="F266" s="353"/>
      <c r="G266" s="353"/>
      <c r="H266" s="353"/>
      <c r="I266" s="353"/>
      <c r="J266" s="353"/>
      <c r="K266" s="353"/>
      <c r="L266" s="353"/>
      <c r="M266" s="353"/>
      <c r="N266" s="353"/>
      <c r="O266" s="353"/>
      <c r="P266" s="353"/>
      <c r="Q266" s="353"/>
      <c r="R266" s="353"/>
      <c r="S266" s="353"/>
      <c r="T266" s="353"/>
    </row>
    <row r="267" spans="2:21">
      <c r="B267" s="353"/>
      <c r="C267" s="353"/>
      <c r="D267" s="353"/>
      <c r="E267" s="353"/>
      <c r="F267" s="353"/>
      <c r="G267" s="353"/>
      <c r="H267" s="353"/>
      <c r="I267" s="353"/>
      <c r="J267" s="353"/>
      <c r="K267" s="353"/>
      <c r="L267" s="353"/>
      <c r="M267" s="353"/>
      <c r="N267" s="353"/>
      <c r="O267" s="353"/>
      <c r="P267" s="353"/>
      <c r="Q267" s="353"/>
      <c r="R267" s="353"/>
      <c r="S267" s="353"/>
      <c r="T267" s="353"/>
    </row>
    <row r="268" spans="2:21">
      <c r="B268" s="353"/>
      <c r="C268" s="353"/>
      <c r="D268" s="353"/>
      <c r="E268" s="353"/>
      <c r="F268" s="353"/>
      <c r="G268" s="353"/>
      <c r="H268" s="353"/>
      <c r="I268" s="353"/>
      <c r="J268" s="353"/>
      <c r="K268" s="353"/>
      <c r="L268" s="353"/>
      <c r="M268" s="353"/>
      <c r="N268" s="353"/>
      <c r="O268" s="353"/>
      <c r="P268" s="353"/>
      <c r="Q268" s="353"/>
      <c r="R268" s="353"/>
      <c r="S268" s="353"/>
      <c r="T268" s="353"/>
    </row>
    <row r="269" spans="2:21">
      <c r="B269" s="353"/>
      <c r="C269" s="353"/>
      <c r="D269" s="353"/>
      <c r="E269" s="353"/>
      <c r="F269" s="353"/>
      <c r="G269" s="353"/>
      <c r="H269" s="353"/>
      <c r="I269" s="353"/>
      <c r="J269" s="353"/>
      <c r="K269" s="353"/>
      <c r="L269" s="353"/>
      <c r="M269" s="353"/>
      <c r="N269" s="353"/>
      <c r="O269" s="353"/>
      <c r="P269" s="353"/>
      <c r="Q269" s="353"/>
      <c r="R269" s="353"/>
      <c r="S269" s="353"/>
      <c r="T269" s="353"/>
    </row>
    <row r="270" spans="2:21">
      <c r="B270" s="353"/>
      <c r="C270" s="353"/>
      <c r="D270" s="353"/>
      <c r="E270" s="353"/>
      <c r="F270" s="353"/>
      <c r="G270" s="353"/>
      <c r="H270" s="353"/>
      <c r="I270" s="353"/>
      <c r="J270" s="353"/>
      <c r="K270" s="353"/>
      <c r="L270" s="353"/>
      <c r="M270" s="353"/>
      <c r="N270" s="353"/>
      <c r="O270" s="353"/>
      <c r="P270" s="353"/>
      <c r="Q270" s="353"/>
      <c r="R270" s="353"/>
      <c r="S270" s="353"/>
      <c r="T270" s="353"/>
      <c r="U270" s="353"/>
    </row>
    <row r="271" spans="2:21">
      <c r="B271" s="353"/>
      <c r="C271" s="353"/>
      <c r="D271" s="353"/>
      <c r="E271" s="353"/>
      <c r="F271" s="353"/>
      <c r="G271" s="353"/>
      <c r="H271" s="353"/>
      <c r="I271" s="353"/>
      <c r="J271" s="353"/>
      <c r="K271" s="353"/>
      <c r="L271" s="353"/>
      <c r="M271" s="353"/>
      <c r="N271" s="353"/>
      <c r="O271" s="353"/>
      <c r="P271" s="353"/>
      <c r="Q271" s="353"/>
      <c r="R271" s="353"/>
      <c r="S271" s="353"/>
      <c r="T271" s="353"/>
      <c r="U271" s="353"/>
    </row>
    <row r="272" spans="2:21">
      <c r="B272" s="353"/>
      <c r="C272" s="353"/>
      <c r="D272" s="353"/>
      <c r="E272" s="353"/>
      <c r="F272" s="353"/>
      <c r="G272" s="353"/>
      <c r="H272" s="353"/>
      <c r="I272" s="353"/>
      <c r="J272" s="353"/>
      <c r="K272" s="353"/>
      <c r="L272" s="353"/>
      <c r="M272" s="353"/>
      <c r="N272" s="353"/>
      <c r="O272" s="353"/>
      <c r="P272" s="353"/>
      <c r="Q272" s="353"/>
      <c r="R272" s="353"/>
      <c r="S272" s="353"/>
      <c r="T272" s="353"/>
      <c r="U272" s="353"/>
    </row>
    <row r="273" spans="1:22">
      <c r="B273" s="353"/>
      <c r="C273" s="353"/>
      <c r="D273" s="353"/>
      <c r="E273" s="353"/>
      <c r="F273" s="353"/>
      <c r="G273" s="353"/>
      <c r="H273" s="353"/>
      <c r="I273" s="353"/>
      <c r="J273" s="353"/>
      <c r="K273" s="353"/>
      <c r="L273" s="353"/>
      <c r="M273" s="353"/>
      <c r="N273" s="353"/>
      <c r="O273" s="353"/>
      <c r="P273" s="353"/>
      <c r="Q273" s="353"/>
      <c r="R273" s="353"/>
      <c r="S273" s="353"/>
      <c r="T273" s="353"/>
      <c r="U273" s="353"/>
    </row>
    <row r="274" spans="1:22">
      <c r="B274" s="353"/>
      <c r="C274" s="353"/>
      <c r="D274" s="353"/>
      <c r="E274" s="353"/>
      <c r="F274" s="353"/>
      <c r="G274" s="353"/>
      <c r="H274" s="353"/>
      <c r="I274" s="353"/>
      <c r="J274" s="353"/>
      <c r="K274" s="353"/>
      <c r="L274" s="353"/>
      <c r="M274" s="353"/>
      <c r="N274" s="353"/>
      <c r="O274" s="353"/>
      <c r="P274" s="353"/>
      <c r="Q274" s="353"/>
      <c r="R274" s="353"/>
      <c r="S274" s="353"/>
      <c r="T274" s="353"/>
      <c r="U274" s="353"/>
    </row>
    <row r="275" spans="1:22">
      <c r="B275" s="353"/>
      <c r="C275" s="353"/>
      <c r="D275" s="353"/>
      <c r="E275" s="353"/>
      <c r="F275" s="353"/>
      <c r="G275" s="353"/>
      <c r="H275" s="353"/>
      <c r="I275" s="353"/>
      <c r="J275" s="353"/>
      <c r="K275" s="353"/>
      <c r="L275" s="353"/>
      <c r="M275" s="353"/>
      <c r="N275" s="353"/>
      <c r="O275" s="353"/>
      <c r="P275" s="353"/>
      <c r="Q275" s="353"/>
      <c r="R275" s="353"/>
      <c r="S275" s="353"/>
      <c r="T275" s="353"/>
      <c r="U275" s="353"/>
    </row>
    <row r="276" spans="1:22">
      <c r="B276" s="353"/>
      <c r="C276" s="353"/>
      <c r="D276" s="353"/>
      <c r="E276" s="353"/>
      <c r="F276" s="353"/>
      <c r="G276" s="353"/>
      <c r="H276" s="353"/>
      <c r="I276" s="353"/>
      <c r="J276" s="353"/>
      <c r="K276" s="353"/>
      <c r="L276" s="353"/>
      <c r="M276" s="353"/>
      <c r="N276" s="353"/>
      <c r="O276" s="353"/>
      <c r="P276" s="353"/>
      <c r="Q276" s="353"/>
      <c r="R276" s="353"/>
      <c r="S276" s="353"/>
      <c r="T276" s="353"/>
      <c r="U276" s="353"/>
    </row>
    <row r="277" spans="1:22">
      <c r="B277" s="353"/>
      <c r="C277" s="353"/>
      <c r="D277" s="353"/>
      <c r="E277" s="353"/>
      <c r="F277" s="353"/>
      <c r="G277" s="353"/>
      <c r="H277" s="353"/>
      <c r="I277" s="353"/>
      <c r="J277" s="353"/>
      <c r="K277" s="353"/>
      <c r="L277" s="353"/>
      <c r="M277" s="353"/>
      <c r="N277" s="353"/>
      <c r="O277" s="353"/>
      <c r="P277" s="353"/>
      <c r="Q277" s="353"/>
      <c r="R277" s="353"/>
      <c r="S277" s="353"/>
      <c r="T277" s="353"/>
      <c r="U277" s="353"/>
    </row>
    <row r="278" spans="1:22">
      <c r="B278" s="353"/>
      <c r="C278" s="353"/>
      <c r="D278" s="353"/>
      <c r="E278" s="353"/>
      <c r="F278" s="353"/>
      <c r="G278" s="353"/>
      <c r="H278" s="353"/>
      <c r="I278" s="353"/>
      <c r="J278" s="353"/>
      <c r="K278" s="353"/>
      <c r="L278" s="353"/>
      <c r="M278" s="353"/>
      <c r="N278" s="353"/>
      <c r="O278" s="353"/>
      <c r="P278" s="353"/>
      <c r="Q278" s="353"/>
      <c r="R278" s="353"/>
      <c r="S278" s="353"/>
      <c r="T278" s="353"/>
      <c r="U278" s="353"/>
    </row>
    <row r="279" spans="1:22">
      <c r="B279" s="353"/>
      <c r="C279" s="353"/>
      <c r="D279" s="353"/>
      <c r="E279" s="353"/>
      <c r="F279" s="353"/>
      <c r="G279" s="353"/>
      <c r="H279" s="353"/>
      <c r="I279" s="353"/>
      <c r="J279" s="353"/>
      <c r="K279" s="353"/>
      <c r="L279" s="353"/>
      <c r="M279" s="353"/>
      <c r="N279" s="353"/>
      <c r="O279" s="353"/>
      <c r="P279" s="353"/>
      <c r="Q279" s="353"/>
      <c r="R279" s="353"/>
      <c r="S279" s="353"/>
      <c r="T279" s="353"/>
      <c r="U279" s="353"/>
    </row>
    <row r="280" spans="1:22">
      <c r="B280" s="353"/>
      <c r="C280" s="353"/>
      <c r="D280" s="353"/>
      <c r="E280" s="353"/>
      <c r="F280" s="353"/>
      <c r="G280" s="353"/>
      <c r="H280" s="353"/>
      <c r="I280" s="353"/>
      <c r="J280" s="353"/>
      <c r="K280" s="353"/>
      <c r="L280" s="353"/>
      <c r="M280" s="353"/>
      <c r="N280" s="353"/>
      <c r="O280" s="353"/>
      <c r="P280" s="353"/>
      <c r="Q280" s="353"/>
      <c r="R280" s="353"/>
      <c r="S280" s="353"/>
      <c r="T280" s="353"/>
      <c r="U280" s="353"/>
    </row>
    <row r="281" spans="1:22">
      <c r="B281" s="353"/>
      <c r="C281" s="353"/>
      <c r="D281" s="353"/>
      <c r="E281" s="353"/>
      <c r="F281" s="353"/>
      <c r="G281" s="353"/>
      <c r="H281" s="353"/>
      <c r="I281" s="353"/>
      <c r="J281" s="353"/>
      <c r="K281" s="353"/>
      <c r="L281" s="353"/>
      <c r="M281" s="353"/>
      <c r="N281" s="353"/>
      <c r="O281" s="353"/>
      <c r="P281" s="353"/>
      <c r="Q281" s="353"/>
      <c r="R281" s="353"/>
      <c r="S281" s="353"/>
      <c r="T281" s="353"/>
      <c r="U281" s="353"/>
    </row>
    <row r="282" spans="1:22">
      <c r="B282" s="353"/>
      <c r="C282" s="353"/>
      <c r="D282" s="353"/>
      <c r="E282" s="353"/>
      <c r="F282" s="353"/>
      <c r="G282" s="353"/>
      <c r="H282" s="353"/>
      <c r="I282" s="353"/>
      <c r="J282" s="353"/>
      <c r="K282" s="353"/>
      <c r="L282" s="353"/>
      <c r="M282" s="353"/>
      <c r="N282" s="353"/>
      <c r="O282" s="353"/>
      <c r="P282" s="353"/>
      <c r="Q282" s="353"/>
      <c r="R282" s="353"/>
      <c r="S282" s="353"/>
      <c r="T282" s="353"/>
      <c r="U282" s="353"/>
    </row>
    <row r="283" spans="1:22">
      <c r="B283" s="353"/>
      <c r="C283" s="353"/>
      <c r="D283" s="353"/>
      <c r="E283" s="353"/>
      <c r="F283" s="353"/>
      <c r="G283" s="353"/>
      <c r="H283" s="353"/>
      <c r="I283" s="353"/>
      <c r="J283" s="353"/>
      <c r="K283" s="353"/>
      <c r="L283" s="353"/>
      <c r="M283" s="353"/>
      <c r="N283" s="353"/>
      <c r="O283" s="353"/>
      <c r="P283" s="353"/>
      <c r="Q283" s="353"/>
      <c r="R283" s="353"/>
      <c r="S283" s="353"/>
      <c r="T283" s="353"/>
      <c r="U283" s="353"/>
    </row>
    <row r="285" spans="1:22" ht="15" customHeight="1">
      <c r="A285" s="396"/>
      <c r="B285" s="396"/>
      <c r="C285" s="396"/>
      <c r="D285" s="396"/>
      <c r="E285" s="396"/>
      <c r="F285" s="394" t="s">
        <v>0</v>
      </c>
      <c r="G285" s="394"/>
      <c r="H285" s="394"/>
      <c r="I285" s="394"/>
      <c r="J285" s="394"/>
      <c r="K285" s="394"/>
      <c r="L285" s="394"/>
      <c r="M285" s="394"/>
      <c r="N285" s="394"/>
      <c r="O285" s="394"/>
      <c r="P285" s="394"/>
      <c r="Q285" s="394"/>
      <c r="R285" s="396"/>
      <c r="S285" s="396"/>
      <c r="T285" s="396"/>
      <c r="U285" s="396"/>
      <c r="V285" s="396"/>
    </row>
    <row r="286" spans="1:22" ht="15" customHeight="1">
      <c r="A286" s="396"/>
      <c r="B286" s="396"/>
      <c r="C286" s="396"/>
      <c r="D286" s="396"/>
      <c r="E286" s="396"/>
      <c r="F286" s="394"/>
      <c r="G286" s="394"/>
      <c r="H286" s="394"/>
      <c r="I286" s="394"/>
      <c r="J286" s="394"/>
      <c r="K286" s="394"/>
      <c r="L286" s="394"/>
      <c r="M286" s="394"/>
      <c r="N286" s="394"/>
      <c r="O286" s="394"/>
      <c r="P286" s="394"/>
      <c r="Q286" s="394"/>
      <c r="R286" s="396"/>
      <c r="S286" s="396"/>
      <c r="T286" s="396"/>
      <c r="U286" s="396"/>
      <c r="V286" s="396"/>
    </row>
    <row r="287" spans="1:22" ht="15" customHeight="1">
      <c r="A287" s="396"/>
      <c r="B287" s="396"/>
      <c r="C287" s="396"/>
      <c r="D287" s="396"/>
      <c r="E287" s="396"/>
      <c r="F287" s="394"/>
      <c r="G287" s="394"/>
      <c r="H287" s="394"/>
      <c r="I287" s="394"/>
      <c r="J287" s="394"/>
      <c r="K287" s="394"/>
      <c r="L287" s="394"/>
      <c r="M287" s="394"/>
      <c r="N287" s="394"/>
      <c r="O287" s="394"/>
      <c r="P287" s="394"/>
      <c r="Q287" s="394"/>
      <c r="R287" s="396"/>
      <c r="S287" s="396"/>
      <c r="T287" s="396"/>
      <c r="U287" s="396"/>
      <c r="V287" s="396"/>
    </row>
    <row r="288" spans="1:22" ht="15" customHeight="1">
      <c r="A288" s="396"/>
      <c r="B288" s="396"/>
      <c r="C288" s="396"/>
      <c r="D288" s="396"/>
      <c r="E288" s="396"/>
      <c r="F288" s="394"/>
      <c r="G288" s="394"/>
      <c r="H288" s="394"/>
      <c r="I288" s="394"/>
      <c r="J288" s="394"/>
      <c r="K288" s="394"/>
      <c r="L288" s="394"/>
      <c r="M288" s="394"/>
      <c r="N288" s="394"/>
      <c r="O288" s="394"/>
      <c r="P288" s="394"/>
      <c r="Q288" s="394"/>
      <c r="R288" s="396"/>
      <c r="S288" s="396"/>
      <c r="T288" s="396"/>
      <c r="U288" s="396"/>
      <c r="V288" s="396"/>
    </row>
    <row r="289" spans="1:22" ht="15" customHeight="1">
      <c r="A289" s="396"/>
      <c r="B289" s="396"/>
      <c r="C289" s="396"/>
      <c r="D289" s="396"/>
      <c r="E289" s="396"/>
      <c r="F289" s="650" t="s">
        <v>209</v>
      </c>
      <c r="G289" s="650"/>
      <c r="H289" s="650"/>
      <c r="I289" s="650"/>
      <c r="J289" s="650"/>
      <c r="K289" s="650"/>
      <c r="L289" s="650"/>
      <c r="M289" s="650"/>
      <c r="N289" s="650"/>
      <c r="O289" s="650"/>
      <c r="P289" s="650"/>
      <c r="Q289" s="650"/>
      <c r="R289" s="396"/>
      <c r="S289" s="396"/>
      <c r="T289" s="396"/>
      <c r="U289" s="396"/>
      <c r="V289" s="396"/>
    </row>
    <row r="290" spans="1:22">
      <c r="A290" s="402" t="e">
        <f>A243</f>
        <v>#REF!</v>
      </c>
      <c r="B290" s="402"/>
      <c r="C290" s="402"/>
      <c r="D290" s="402"/>
      <c r="E290" s="402"/>
      <c r="F290" s="651" t="e">
        <f>F243</f>
        <v>#REF!</v>
      </c>
      <c r="G290" s="651"/>
      <c r="H290" s="651"/>
      <c r="I290" s="651"/>
      <c r="J290" s="651"/>
      <c r="K290" s="651"/>
      <c r="L290" s="651"/>
      <c r="M290" s="651"/>
      <c r="N290" s="651"/>
      <c r="O290" s="651"/>
      <c r="P290" s="651"/>
      <c r="Q290" s="651"/>
      <c r="R290" s="402" t="s">
        <v>196</v>
      </c>
      <c r="S290" s="402"/>
      <c r="T290" s="402"/>
      <c r="U290" s="402"/>
      <c r="V290" s="402"/>
    </row>
    <row r="291" spans="1:22">
      <c r="A291" s="402"/>
      <c r="B291" s="402"/>
      <c r="C291" s="402"/>
      <c r="D291" s="402"/>
      <c r="E291" s="402"/>
      <c r="F291" s="651"/>
      <c r="G291" s="651"/>
      <c r="H291" s="651"/>
      <c r="I291" s="651"/>
      <c r="J291" s="651"/>
      <c r="K291" s="651"/>
      <c r="L291" s="651"/>
      <c r="M291" s="651"/>
      <c r="N291" s="651"/>
      <c r="O291" s="651"/>
      <c r="P291" s="651"/>
      <c r="Q291" s="651"/>
      <c r="R291" s="402"/>
      <c r="S291" s="402"/>
      <c r="T291" s="402"/>
      <c r="U291" s="402"/>
      <c r="V291" s="402"/>
    </row>
    <row r="293" spans="1:22">
      <c r="B293" s="353"/>
      <c r="C293" s="353"/>
      <c r="D293" s="353"/>
      <c r="E293" s="353"/>
      <c r="F293" s="353"/>
      <c r="G293" s="353"/>
      <c r="H293" s="353"/>
      <c r="I293" s="353"/>
      <c r="J293" s="353"/>
      <c r="K293" s="353"/>
      <c r="L293" s="353"/>
      <c r="M293" s="353"/>
      <c r="N293" s="353"/>
      <c r="O293" s="353"/>
      <c r="P293" s="353"/>
      <c r="Q293" s="353"/>
      <c r="R293" s="353"/>
      <c r="S293" s="353"/>
      <c r="T293" s="353"/>
      <c r="U293" s="353"/>
    </row>
    <row r="294" spans="1:22">
      <c r="B294" s="353"/>
      <c r="C294" s="353"/>
      <c r="D294" s="353"/>
      <c r="E294" s="353"/>
      <c r="F294" s="353"/>
      <c r="G294" s="353"/>
      <c r="H294" s="353"/>
      <c r="I294" s="353"/>
      <c r="J294" s="353"/>
      <c r="K294" s="353"/>
      <c r="L294" s="353"/>
      <c r="M294" s="353"/>
      <c r="N294" s="353"/>
      <c r="O294" s="353"/>
      <c r="P294" s="353"/>
      <c r="Q294" s="353"/>
      <c r="R294" s="353"/>
      <c r="S294" s="353"/>
      <c r="T294" s="353"/>
      <c r="U294" s="353"/>
    </row>
    <row r="295" spans="1:22">
      <c r="B295" s="353"/>
      <c r="C295" s="353"/>
      <c r="D295" s="353"/>
      <c r="E295" s="353"/>
      <c r="F295" s="353"/>
      <c r="G295" s="353"/>
      <c r="H295" s="353"/>
      <c r="I295" s="353"/>
      <c r="J295" s="353"/>
      <c r="K295" s="353"/>
      <c r="L295" s="353"/>
      <c r="M295" s="353"/>
      <c r="N295" s="353"/>
      <c r="O295" s="353"/>
      <c r="P295" s="353"/>
      <c r="Q295" s="353"/>
      <c r="R295" s="353"/>
      <c r="S295" s="353"/>
      <c r="T295" s="353"/>
      <c r="U295" s="353"/>
    </row>
    <row r="296" spans="1:22">
      <c r="B296" s="353"/>
      <c r="C296" s="353"/>
      <c r="D296" s="353"/>
      <c r="E296" s="353"/>
      <c r="F296" s="353"/>
      <c r="G296" s="353"/>
      <c r="H296" s="353"/>
      <c r="I296" s="353"/>
      <c r="J296" s="353"/>
      <c r="K296" s="353"/>
      <c r="L296" s="353"/>
      <c r="M296" s="353"/>
      <c r="N296" s="353"/>
      <c r="O296" s="353"/>
      <c r="P296" s="353"/>
      <c r="Q296" s="353"/>
      <c r="R296" s="353"/>
      <c r="S296" s="353"/>
      <c r="T296" s="353"/>
      <c r="U296" s="353"/>
    </row>
    <row r="297" spans="1:22">
      <c r="B297" s="353"/>
      <c r="C297" s="353"/>
      <c r="D297" s="353"/>
      <c r="E297" s="353"/>
      <c r="F297" s="353"/>
      <c r="G297" s="353"/>
      <c r="H297" s="353"/>
      <c r="I297" s="353"/>
      <c r="J297" s="353"/>
      <c r="K297" s="353"/>
      <c r="L297" s="353"/>
      <c r="M297" s="353"/>
      <c r="N297" s="353"/>
      <c r="O297" s="353"/>
      <c r="P297" s="353"/>
      <c r="Q297" s="353"/>
      <c r="R297" s="353"/>
      <c r="S297" s="353"/>
      <c r="T297" s="353"/>
      <c r="U297" s="353"/>
    </row>
    <row r="298" spans="1:22">
      <c r="B298" s="353"/>
      <c r="C298" s="353"/>
      <c r="D298" s="353"/>
      <c r="E298" s="353"/>
      <c r="F298" s="353"/>
      <c r="G298" s="353"/>
      <c r="H298" s="353"/>
      <c r="I298" s="353"/>
      <c r="J298" s="353"/>
      <c r="K298" s="353"/>
      <c r="L298" s="353"/>
      <c r="M298" s="353"/>
      <c r="N298" s="353"/>
      <c r="O298" s="353"/>
      <c r="P298" s="353"/>
      <c r="Q298" s="353"/>
      <c r="R298" s="353"/>
      <c r="S298" s="353"/>
      <c r="T298" s="353"/>
      <c r="U298" s="353"/>
    </row>
    <row r="299" spans="1:22">
      <c r="B299" s="353"/>
      <c r="C299" s="353"/>
      <c r="D299" s="353"/>
      <c r="E299" s="353"/>
      <c r="F299" s="353"/>
      <c r="G299" s="353"/>
      <c r="H299" s="353"/>
      <c r="I299" s="353"/>
      <c r="J299" s="353"/>
      <c r="K299" s="353"/>
      <c r="L299" s="353"/>
      <c r="M299" s="353"/>
      <c r="N299" s="353"/>
      <c r="O299" s="353"/>
      <c r="P299" s="353"/>
      <c r="Q299" s="353"/>
      <c r="R299" s="353"/>
      <c r="S299" s="353"/>
      <c r="T299" s="353"/>
      <c r="U299" s="353"/>
    </row>
    <row r="300" spans="1:22">
      <c r="B300" s="353"/>
      <c r="C300" s="353"/>
      <c r="D300" s="353"/>
      <c r="E300" s="353"/>
      <c r="F300" s="353"/>
      <c r="G300" s="353"/>
      <c r="H300" s="353"/>
      <c r="I300" s="353"/>
      <c r="J300" s="353"/>
      <c r="K300" s="353"/>
      <c r="L300" s="353"/>
      <c r="M300" s="353"/>
      <c r="N300" s="353"/>
      <c r="O300" s="353"/>
      <c r="P300" s="353"/>
      <c r="Q300" s="353"/>
      <c r="R300" s="353"/>
      <c r="S300" s="353"/>
      <c r="T300" s="353"/>
      <c r="U300" s="353"/>
    </row>
    <row r="301" spans="1:22">
      <c r="B301" s="353"/>
      <c r="C301" s="353"/>
      <c r="D301" s="353"/>
      <c r="E301" s="353"/>
      <c r="F301" s="353"/>
      <c r="G301" s="353"/>
      <c r="H301" s="353"/>
      <c r="I301" s="353"/>
      <c r="J301" s="353"/>
      <c r="K301" s="353"/>
      <c r="L301" s="353"/>
      <c r="M301" s="353"/>
      <c r="N301" s="353"/>
      <c r="O301" s="353"/>
      <c r="P301" s="353"/>
      <c r="Q301" s="353"/>
      <c r="R301" s="353"/>
      <c r="S301" s="353"/>
      <c r="T301" s="353"/>
      <c r="U301" s="353"/>
    </row>
    <row r="302" spans="1:22">
      <c r="B302" s="353"/>
      <c r="C302" s="353"/>
      <c r="D302" s="353"/>
      <c r="E302" s="353"/>
      <c r="F302" s="353"/>
      <c r="G302" s="353"/>
      <c r="H302" s="353"/>
      <c r="I302" s="353"/>
      <c r="J302" s="353"/>
      <c r="K302" s="353"/>
      <c r="L302" s="353"/>
      <c r="M302" s="353"/>
      <c r="N302" s="353"/>
      <c r="O302" s="353"/>
      <c r="P302" s="353"/>
      <c r="Q302" s="353"/>
      <c r="R302" s="353"/>
      <c r="S302" s="353"/>
      <c r="T302" s="353"/>
      <c r="U302" s="353"/>
    </row>
    <row r="304" spans="1:22" ht="15.75" customHeight="1">
      <c r="B304" s="621" t="s">
        <v>126</v>
      </c>
      <c r="C304" s="621"/>
      <c r="D304" s="621"/>
      <c r="E304" s="621"/>
      <c r="F304" s="621"/>
      <c r="G304" s="621"/>
      <c r="H304" s="621"/>
    </row>
    <row r="305" spans="2:29" ht="15" customHeight="1">
      <c r="B305" s="622"/>
      <c r="C305" s="622"/>
      <c r="D305" s="622"/>
      <c r="E305" s="622"/>
      <c r="F305" s="622"/>
      <c r="G305" s="622"/>
      <c r="H305" s="622"/>
    </row>
    <row r="306" spans="2:29">
      <c r="B306" s="394" t="s">
        <v>177</v>
      </c>
      <c r="C306" s="394"/>
      <c r="D306" s="624">
        <v>0</v>
      </c>
      <c r="E306" s="624"/>
      <c r="F306" s="624"/>
      <c r="G306" s="624"/>
      <c r="H306" s="635" t="s">
        <v>182</v>
      </c>
      <c r="I306" s="635"/>
      <c r="J306" s="635"/>
      <c r="K306" s="624" t="e">
        <f>'Seismic design'!D182</f>
        <v>#REF!</v>
      </c>
      <c r="L306" s="624"/>
      <c r="M306" s="624"/>
      <c r="N306" s="633" t="s">
        <v>187</v>
      </c>
      <c r="O306" s="633"/>
      <c r="P306" s="633"/>
      <c r="Q306" s="633"/>
      <c r="R306" s="624">
        <v>0.376</v>
      </c>
      <c r="S306" s="624"/>
      <c r="T306" s="624"/>
      <c r="U306" s="624"/>
    </row>
    <row r="307" spans="2:29">
      <c r="B307" s="394"/>
      <c r="C307" s="394"/>
      <c r="D307" s="624"/>
      <c r="E307" s="624"/>
      <c r="F307" s="624"/>
      <c r="G307" s="624"/>
      <c r="H307" s="635"/>
      <c r="I307" s="635"/>
      <c r="J307" s="635"/>
      <c r="K307" s="624"/>
      <c r="L307" s="624"/>
      <c r="M307" s="624"/>
      <c r="N307" s="633"/>
      <c r="O307" s="633"/>
      <c r="P307" s="633"/>
      <c r="Q307" s="633"/>
      <c r="R307" s="624"/>
      <c r="S307" s="624"/>
      <c r="T307" s="624"/>
      <c r="U307" s="624"/>
    </row>
    <row r="308" spans="2:29">
      <c r="B308" s="394" t="s">
        <v>178</v>
      </c>
      <c r="C308" s="394"/>
      <c r="D308" s="624">
        <v>0</v>
      </c>
      <c r="E308" s="624"/>
      <c r="F308" s="624"/>
      <c r="G308" s="624"/>
      <c r="H308" s="411" t="s">
        <v>183</v>
      </c>
      <c r="I308" s="411"/>
      <c r="J308" s="411"/>
      <c r="K308" s="624">
        <v>0.4</v>
      </c>
      <c r="L308" s="624"/>
      <c r="M308" s="624"/>
      <c r="N308" s="634" t="s">
        <v>190</v>
      </c>
      <c r="O308" s="634"/>
      <c r="P308" s="634"/>
      <c r="Q308" s="634"/>
      <c r="R308" s="624">
        <f>'Wind overturning stability'!T70*1000</f>
        <v>1326.9628808864268</v>
      </c>
      <c r="S308" s="624"/>
      <c r="T308" s="624"/>
      <c r="U308" s="624"/>
    </row>
    <row r="309" spans="2:29">
      <c r="B309" s="394"/>
      <c r="C309" s="394"/>
      <c r="D309" s="624"/>
      <c r="E309" s="624"/>
      <c r="F309" s="624"/>
      <c r="G309" s="624"/>
      <c r="H309" s="411"/>
      <c r="I309" s="411"/>
      <c r="J309" s="411"/>
      <c r="K309" s="624"/>
      <c r="L309" s="624"/>
      <c r="M309" s="624"/>
      <c r="N309" s="634"/>
      <c r="O309" s="634"/>
      <c r="P309" s="634"/>
      <c r="Q309" s="634"/>
      <c r="R309" s="624"/>
      <c r="S309" s="624"/>
      <c r="T309" s="624"/>
      <c r="U309" s="624"/>
    </row>
    <row r="310" spans="2:29">
      <c r="B310" s="394" t="s">
        <v>179</v>
      </c>
      <c r="C310" s="394"/>
      <c r="D310" s="624">
        <v>0</v>
      </c>
      <c r="E310" s="624"/>
      <c r="F310" s="624"/>
      <c r="G310" s="624"/>
      <c r="H310" s="411" t="s">
        <v>184</v>
      </c>
      <c r="I310" s="411"/>
      <c r="J310" s="411"/>
      <c r="K310" s="636">
        <f>('Shell Plate Design '!S47+(0.05*'Shell Plate Design '!S47))*9.84</f>
        <v>215308.23255809391</v>
      </c>
      <c r="L310" s="637"/>
      <c r="M310" s="638"/>
      <c r="N310" s="634" t="s">
        <v>188</v>
      </c>
      <c r="O310" s="634"/>
      <c r="P310" s="634"/>
      <c r="Q310" s="634"/>
      <c r="R310" s="624">
        <v>240</v>
      </c>
      <c r="S310" s="624"/>
      <c r="T310" s="624"/>
      <c r="U310" s="624"/>
    </row>
    <row r="311" spans="2:29">
      <c r="B311" s="394"/>
      <c r="C311" s="394"/>
      <c r="D311" s="624"/>
      <c r="E311" s="624"/>
      <c r="F311" s="624"/>
      <c r="G311" s="624"/>
      <c r="H311" s="411"/>
      <c r="I311" s="411"/>
      <c r="J311" s="411"/>
      <c r="K311" s="639"/>
      <c r="L311" s="640"/>
      <c r="M311" s="641"/>
      <c r="N311" s="634"/>
      <c r="O311" s="634"/>
      <c r="P311" s="634"/>
      <c r="Q311" s="634"/>
      <c r="R311" s="624"/>
      <c r="S311" s="624"/>
      <c r="T311" s="624"/>
      <c r="U311" s="624"/>
    </row>
    <row r="312" spans="2:29">
      <c r="B312" s="394" t="s">
        <v>180</v>
      </c>
      <c r="C312" s="394"/>
      <c r="D312" s="624">
        <f>'Wind overturning stability'!T71</f>
        <v>2.2066349030470915</v>
      </c>
      <c r="E312" s="624"/>
      <c r="F312" s="624"/>
      <c r="G312" s="624"/>
      <c r="H312" s="411" t="s">
        <v>185</v>
      </c>
      <c r="I312" s="411"/>
      <c r="J312" s="411"/>
      <c r="K312" s="624">
        <f>('roof design(2)'!J38*9.84)+K310</f>
        <v>302969.88945059391</v>
      </c>
      <c r="L312" s="624"/>
      <c r="M312" s="624"/>
      <c r="N312" s="634" t="s">
        <v>189</v>
      </c>
      <c r="O312" s="634"/>
      <c r="P312" s="634"/>
      <c r="Q312" s="634"/>
      <c r="R312" s="624">
        <v>205</v>
      </c>
      <c r="S312" s="624"/>
      <c r="T312" s="624"/>
      <c r="U312" s="624"/>
    </row>
    <row r="313" spans="2:29">
      <c r="B313" s="394"/>
      <c r="C313" s="394"/>
      <c r="D313" s="624"/>
      <c r="E313" s="624"/>
      <c r="F313" s="624"/>
      <c r="G313" s="624"/>
      <c r="H313" s="411"/>
      <c r="I313" s="411"/>
      <c r="J313" s="411"/>
      <c r="K313" s="624"/>
      <c r="L313" s="624"/>
      <c r="M313" s="624"/>
      <c r="N313" s="634"/>
      <c r="O313" s="634"/>
      <c r="P313" s="634"/>
      <c r="Q313" s="634"/>
      <c r="R313" s="624"/>
      <c r="S313" s="624"/>
      <c r="T313" s="624"/>
      <c r="U313" s="624"/>
    </row>
    <row r="314" spans="2:29">
      <c r="B314" s="642" t="s">
        <v>181</v>
      </c>
      <c r="C314" s="642"/>
      <c r="D314" s="624">
        <f>R308*(COVER!H153/1000)*(COVER!H154/1000)</f>
        <v>163879.91578947371</v>
      </c>
      <c r="E314" s="624"/>
      <c r="F314" s="624"/>
      <c r="G314" s="624"/>
      <c r="H314" s="411" t="s">
        <v>186</v>
      </c>
      <c r="I314" s="411"/>
      <c r="J314" s="411"/>
      <c r="K314" s="624">
        <f>'Shell Plate Design '!S47</f>
        <v>20838.969469424497</v>
      </c>
      <c r="L314" s="624"/>
      <c r="M314" s="624"/>
      <c r="N314" s="209"/>
      <c r="O314" s="209"/>
      <c r="P314" s="209"/>
      <c r="Q314" s="209"/>
      <c r="R314" s="209"/>
      <c r="S314" s="209"/>
      <c r="T314" s="209"/>
      <c r="U314" s="209"/>
    </row>
    <row r="315" spans="2:29">
      <c r="B315" s="642"/>
      <c r="C315" s="642"/>
      <c r="D315" s="624"/>
      <c r="E315" s="624"/>
      <c r="F315" s="624"/>
      <c r="G315" s="624"/>
      <c r="H315" s="411"/>
      <c r="I315" s="411"/>
      <c r="J315" s="411"/>
      <c r="K315" s="624"/>
      <c r="L315" s="624"/>
      <c r="M315" s="624"/>
      <c r="N315" s="209"/>
      <c r="O315" s="209"/>
      <c r="P315" s="209"/>
      <c r="Q315" s="209"/>
      <c r="R315" s="209"/>
      <c r="S315" s="209"/>
      <c r="T315" s="209"/>
      <c r="U315" s="209"/>
    </row>
    <row r="316" spans="2:29">
      <c r="B316" s="645" t="s">
        <v>161</v>
      </c>
      <c r="C316" s="645"/>
      <c r="D316" s="645"/>
      <c r="E316" s="645"/>
      <c r="F316" s="645"/>
      <c r="G316" s="645" t="s">
        <v>162</v>
      </c>
      <c r="H316" s="645"/>
      <c r="I316" s="645"/>
      <c r="J316" s="645" t="s">
        <v>163</v>
      </c>
      <c r="K316" s="645"/>
      <c r="L316" s="645"/>
      <c r="M316" s="646" t="s">
        <v>164</v>
      </c>
      <c r="N316" s="647"/>
      <c r="O316" s="647"/>
      <c r="P316" s="648" t="s">
        <v>165</v>
      </c>
      <c r="Q316" s="645"/>
      <c r="R316" s="646" t="s">
        <v>166</v>
      </c>
      <c r="S316" s="647"/>
      <c r="T316" s="645" t="s">
        <v>167</v>
      </c>
      <c r="U316" s="645"/>
    </row>
    <row r="317" spans="2:29">
      <c r="B317" s="645"/>
      <c r="C317" s="645"/>
      <c r="D317" s="645"/>
      <c r="E317" s="645"/>
      <c r="F317" s="645"/>
      <c r="G317" s="645"/>
      <c r="H317" s="645"/>
      <c r="I317" s="645"/>
      <c r="J317" s="645"/>
      <c r="K317" s="645"/>
      <c r="L317" s="645"/>
      <c r="M317" s="647"/>
      <c r="N317" s="647"/>
      <c r="O317" s="647"/>
      <c r="P317" s="645"/>
      <c r="Q317" s="645"/>
      <c r="R317" s="647"/>
      <c r="S317" s="647"/>
      <c r="T317" s="645"/>
      <c r="U317" s="645"/>
    </row>
    <row r="318" spans="2:29">
      <c r="B318" s="218" t="s">
        <v>168</v>
      </c>
      <c r="C318" s="218"/>
      <c r="D318" s="218"/>
      <c r="E318" s="218"/>
      <c r="F318" s="218"/>
      <c r="G318" s="218">
        <f>((D306-(0.08*4.5))*9.7^2*785)-(K310)</f>
        <v>-241898.06655809391</v>
      </c>
      <c r="H318" s="218"/>
      <c r="I318" s="218"/>
      <c r="J318" s="218">
        <f>G318/12</f>
        <v>-20158.172213174494</v>
      </c>
      <c r="K318" s="218"/>
      <c r="L318" s="218"/>
      <c r="M318" s="218">
        <f>(5/12)*240</f>
        <v>100</v>
      </c>
      <c r="N318" s="218"/>
      <c r="O318" s="218"/>
      <c r="P318" s="218">
        <f>(2/3)*(R312)</f>
        <v>136.66666666666666</v>
      </c>
      <c r="Q318" s="218"/>
      <c r="R318" s="218" t="s">
        <v>176</v>
      </c>
      <c r="S318" s="218"/>
      <c r="T318" s="218" t="s">
        <v>176</v>
      </c>
      <c r="U318" s="218"/>
    </row>
    <row r="319" spans="2:29">
      <c r="B319" s="218" t="s">
        <v>169</v>
      </c>
      <c r="C319" s="218"/>
      <c r="D319" s="218"/>
      <c r="E319" s="218"/>
      <c r="F319" s="218"/>
      <c r="G319" s="218">
        <f>((D306-(0.08*4.5))*9.7^2*785)-(K310)</f>
        <v>-241898.06655809391</v>
      </c>
      <c r="H319" s="218"/>
      <c r="I319" s="218"/>
      <c r="J319" s="218">
        <f t="shared" ref="J319:J325" si="33">G319/12</f>
        <v>-20158.172213174494</v>
      </c>
      <c r="K319" s="218"/>
      <c r="L319" s="218"/>
      <c r="M319" s="218">
        <f>(5/9)*240</f>
        <v>133.33333333333334</v>
      </c>
      <c r="N319" s="218"/>
      <c r="O319" s="218"/>
      <c r="P319" s="218">
        <f>(5/6)*(R312)</f>
        <v>170.83333333333334</v>
      </c>
      <c r="Q319" s="218"/>
      <c r="R319" s="218" t="s">
        <v>176</v>
      </c>
      <c r="S319" s="218"/>
      <c r="T319" s="218" t="s">
        <v>176</v>
      </c>
      <c r="U319" s="218"/>
      <c r="Y319" s="11"/>
      <c r="AA319" s="353"/>
      <c r="AB319" s="353"/>
      <c r="AC319" s="353"/>
    </row>
    <row r="320" spans="2:29">
      <c r="B320" s="218" t="s">
        <v>170</v>
      </c>
      <c r="C320" s="218"/>
      <c r="D320" s="218"/>
      <c r="E320" s="218"/>
      <c r="F320" s="218"/>
      <c r="G320" s="218">
        <f>((1.5*(D310)-(0.08*4.5))*9.7^2*785)-(K314)</f>
        <v>-47428.803469424493</v>
      </c>
      <c r="H320" s="218"/>
      <c r="I320" s="218"/>
      <c r="J320" s="218">
        <f t="shared" si="33"/>
        <v>-3952.4002891187079</v>
      </c>
      <c r="K320" s="218"/>
      <c r="L320" s="218"/>
      <c r="M320" s="218">
        <f>240</f>
        <v>240</v>
      </c>
      <c r="N320" s="218"/>
      <c r="O320" s="218"/>
      <c r="P320" s="218">
        <f>R312</f>
        <v>205</v>
      </c>
      <c r="Q320" s="218"/>
      <c r="R320" s="218" t="s">
        <v>176</v>
      </c>
      <c r="S320" s="218"/>
      <c r="T320" s="218" t="s">
        <v>176</v>
      </c>
      <c r="U320" s="218"/>
      <c r="Y320" s="12"/>
    </row>
    <row r="321" spans="1:25">
      <c r="B321" s="218" t="s">
        <v>171</v>
      </c>
      <c r="C321" s="218"/>
      <c r="D321" s="218"/>
      <c r="E321" s="218"/>
      <c r="F321" s="218"/>
      <c r="G321" s="218">
        <f>((3*(D310)-(0.08*4.5))*9.7^2*785)-(K314)</f>
        <v>-47428.803469424493</v>
      </c>
      <c r="H321" s="218"/>
      <c r="I321" s="218"/>
      <c r="J321" s="218">
        <f t="shared" si="33"/>
        <v>-3952.4002891187079</v>
      </c>
      <c r="K321" s="218"/>
      <c r="L321" s="218"/>
      <c r="M321" s="218">
        <f>240</f>
        <v>240</v>
      </c>
      <c r="N321" s="218"/>
      <c r="O321" s="218"/>
      <c r="P321" s="218">
        <f>R310</f>
        <v>240</v>
      </c>
      <c r="Q321" s="218"/>
      <c r="R321" s="218" t="s">
        <v>176</v>
      </c>
      <c r="S321" s="218"/>
      <c r="T321" s="218" t="s">
        <v>176</v>
      </c>
      <c r="U321" s="218"/>
    </row>
    <row r="322" spans="1:25">
      <c r="B322" s="218" t="s">
        <v>172</v>
      </c>
      <c r="C322" s="218"/>
      <c r="D322" s="218"/>
      <c r="E322" s="218"/>
      <c r="F322" s="218"/>
      <c r="G322" s="218">
        <f>D312*9.7^2*785+((4*D314)/9.7)-(K312)</f>
        <v>-72407.054481539992</v>
      </c>
      <c r="H322" s="218"/>
      <c r="I322" s="218"/>
      <c r="J322" s="218">
        <f t="shared" si="33"/>
        <v>-6033.9212067949993</v>
      </c>
      <c r="K322" s="218"/>
      <c r="L322" s="218"/>
      <c r="M322" s="218">
        <f>0.8*240</f>
        <v>192</v>
      </c>
      <c r="N322" s="218"/>
      <c r="O322" s="218"/>
      <c r="P322" s="218">
        <f>(5/6)*(R312)</f>
        <v>170.83333333333334</v>
      </c>
      <c r="Q322" s="218"/>
      <c r="R322" s="218" t="s">
        <v>176</v>
      </c>
      <c r="S322" s="218"/>
      <c r="T322" s="218" t="s">
        <v>176</v>
      </c>
      <c r="U322" s="218"/>
      <c r="Y322" s="11"/>
    </row>
    <row r="323" spans="1:25">
      <c r="B323" s="218" t="s">
        <v>173</v>
      </c>
      <c r="C323" s="218"/>
      <c r="D323" s="218"/>
      <c r="E323" s="218"/>
      <c r="F323" s="218"/>
      <c r="G323" s="218" t="e">
        <f>(4*K306/9.7)-(K312)*(1-(0.4*R306))</f>
        <v>#REF!</v>
      </c>
      <c r="H323" s="218"/>
      <c r="I323" s="218"/>
      <c r="J323" s="218" t="e">
        <f t="shared" si="33"/>
        <v>#REF!</v>
      </c>
      <c r="K323" s="218"/>
      <c r="L323" s="218"/>
      <c r="M323" s="218">
        <f>0.8*240</f>
        <v>192</v>
      </c>
      <c r="N323" s="218"/>
      <c r="O323" s="218"/>
      <c r="P323" s="218">
        <f>(5/6)*(R312)</f>
        <v>170.83333333333334</v>
      </c>
      <c r="Q323" s="218"/>
      <c r="R323" s="218" t="e">
        <f>J323/M323</f>
        <v>#REF!</v>
      </c>
      <c r="S323" s="218"/>
      <c r="T323" s="218" t="e">
        <f t="shared" ref="T323:T325" si="34">((R323)/(PI()))^0.5*(2)</f>
        <v>#REF!</v>
      </c>
      <c r="U323" s="218"/>
      <c r="Y323" s="11"/>
    </row>
    <row r="324" spans="1:25">
      <c r="B324" s="218" t="s">
        <v>174</v>
      </c>
      <c r="C324" s="218"/>
      <c r="D324" s="218"/>
      <c r="E324" s="218"/>
      <c r="F324" s="218"/>
      <c r="G324" s="218">
        <f>((((K308*D306)+D312-(0.08*4.5))*9.7^2*785))+(4*D314/9.7)-(K310)</f>
        <v>-11335.231589039962</v>
      </c>
      <c r="H324" s="218"/>
      <c r="I324" s="218"/>
      <c r="J324" s="218">
        <f t="shared" si="33"/>
        <v>-944.60263241999689</v>
      </c>
      <c r="K324" s="218"/>
      <c r="L324" s="218"/>
      <c r="M324" s="218">
        <f>(5/9)*240</f>
        <v>133.33333333333334</v>
      </c>
      <c r="N324" s="218"/>
      <c r="O324" s="218"/>
      <c r="P324" s="218">
        <f>P323</f>
        <v>170.83333333333334</v>
      </c>
      <c r="Q324" s="218"/>
      <c r="R324" s="218" t="s">
        <v>176</v>
      </c>
      <c r="S324" s="218"/>
      <c r="T324" s="218" t="s">
        <v>176</v>
      </c>
      <c r="U324" s="218"/>
    </row>
    <row r="325" spans="1:25">
      <c r="B325" s="218" t="s">
        <v>175</v>
      </c>
      <c r="C325" s="218"/>
      <c r="D325" s="218"/>
      <c r="E325" s="218"/>
      <c r="F325" s="218"/>
      <c r="G325" s="218" t="e">
        <f>(((K308*D306)-(0.08*4.5))*9.7^2*785)+(4*K306/9.7)-(K310*(1-(0.4*R306)))</f>
        <v>#REF!</v>
      </c>
      <c r="H325" s="218"/>
      <c r="I325" s="218"/>
      <c r="J325" s="218" t="e">
        <f t="shared" si="33"/>
        <v>#REF!</v>
      </c>
      <c r="K325" s="218"/>
      <c r="L325" s="218"/>
      <c r="M325" s="218">
        <f>0.8*240</f>
        <v>192</v>
      </c>
      <c r="N325" s="218"/>
      <c r="O325" s="218"/>
      <c r="P325" s="218">
        <f>P324</f>
        <v>170.83333333333334</v>
      </c>
      <c r="Q325" s="218"/>
      <c r="R325" s="218" t="e">
        <f>J325/M325</f>
        <v>#REF!</v>
      </c>
      <c r="S325" s="218"/>
      <c r="T325" s="218" t="e">
        <f t="shared" si="34"/>
        <v>#REF!</v>
      </c>
      <c r="U325" s="218"/>
    </row>
    <row r="326" spans="1:25">
      <c r="B326" s="356" t="s">
        <v>191</v>
      </c>
      <c r="C326" s="600"/>
      <c r="D326" s="600"/>
      <c r="E326" s="600"/>
      <c r="F326" s="600"/>
      <c r="G326" s="600"/>
      <c r="H326" s="600"/>
      <c r="I326" s="600"/>
      <c r="J326" s="600"/>
      <c r="K326" s="600"/>
      <c r="L326" s="600"/>
      <c r="M326" s="600"/>
      <c r="N326" s="600"/>
      <c r="O326" s="600"/>
      <c r="P326" s="600"/>
      <c r="Q326" s="600"/>
      <c r="R326" s="600"/>
      <c r="S326" s="357"/>
      <c r="T326" s="218" t="e">
        <f>MAX(T322:U325)</f>
        <v>#REF!</v>
      </c>
      <c r="U326" s="218"/>
    </row>
    <row r="327" spans="1:25">
      <c r="B327" s="649" t="s">
        <v>312</v>
      </c>
      <c r="C327" s="649"/>
      <c r="D327" s="649"/>
      <c r="E327" s="649"/>
      <c r="F327" s="649"/>
      <c r="G327" s="649"/>
      <c r="H327" s="649"/>
      <c r="I327" s="649"/>
      <c r="J327" s="649"/>
      <c r="K327" s="649"/>
      <c r="L327" s="649"/>
      <c r="M327" s="649"/>
      <c r="N327" s="649"/>
      <c r="O327" s="649"/>
      <c r="P327" s="649"/>
      <c r="Q327" s="649"/>
      <c r="R327" s="649"/>
      <c r="S327" s="649"/>
      <c r="T327" s="649"/>
      <c r="U327" s="649"/>
    </row>
    <row r="328" spans="1:25">
      <c r="B328" s="401"/>
      <c r="C328" s="401"/>
      <c r="D328" s="401"/>
      <c r="E328" s="401"/>
      <c r="F328" s="401"/>
      <c r="G328" s="401"/>
      <c r="H328" s="401"/>
      <c r="I328" s="401"/>
      <c r="J328" s="401"/>
      <c r="K328" s="401"/>
      <c r="L328" s="401"/>
      <c r="M328" s="401"/>
      <c r="N328" s="401"/>
      <c r="O328" s="401"/>
      <c r="P328" s="401"/>
      <c r="Q328" s="401"/>
      <c r="R328" s="401"/>
      <c r="S328" s="401"/>
      <c r="T328" s="401"/>
      <c r="U328" s="401"/>
    </row>
    <row r="329" spans="1:25">
      <c r="B329" s="401"/>
      <c r="C329" s="401"/>
      <c r="D329" s="401"/>
      <c r="E329" s="401"/>
      <c r="F329" s="401"/>
      <c r="G329" s="401"/>
      <c r="H329" s="401"/>
      <c r="I329" s="401"/>
      <c r="J329" s="401"/>
      <c r="K329" s="401"/>
      <c r="L329" s="401"/>
      <c r="M329" s="401"/>
      <c r="N329" s="401"/>
      <c r="O329" s="401"/>
      <c r="P329" s="401"/>
      <c r="Q329" s="401"/>
      <c r="R329" s="401"/>
      <c r="S329" s="401"/>
      <c r="T329" s="401"/>
      <c r="U329" s="401"/>
    </row>
    <row r="331" spans="1:25" ht="15" customHeight="1">
      <c r="A331" s="396"/>
      <c r="B331" s="396"/>
      <c r="C331" s="396"/>
      <c r="D331" s="396"/>
      <c r="E331" s="396"/>
      <c r="F331" s="394" t="s">
        <v>0</v>
      </c>
      <c r="G331" s="394"/>
      <c r="H331" s="394"/>
      <c r="I331" s="394"/>
      <c r="J331" s="394"/>
      <c r="K331" s="394"/>
      <c r="L331" s="394"/>
      <c r="M331" s="394"/>
      <c r="N331" s="394"/>
      <c r="O331" s="394"/>
      <c r="P331" s="394"/>
      <c r="Q331" s="394"/>
      <c r="R331" s="396"/>
      <c r="S331" s="396"/>
      <c r="T331" s="396"/>
      <c r="U331" s="396"/>
      <c r="V331" s="396"/>
    </row>
    <row r="332" spans="1:25" ht="15" customHeight="1">
      <c r="A332" s="396"/>
      <c r="B332" s="396"/>
      <c r="C332" s="396"/>
      <c r="D332" s="396"/>
      <c r="E332" s="396"/>
      <c r="F332" s="394"/>
      <c r="G332" s="394"/>
      <c r="H332" s="394"/>
      <c r="I332" s="394"/>
      <c r="J332" s="394"/>
      <c r="K332" s="394"/>
      <c r="L332" s="394"/>
      <c r="M332" s="394"/>
      <c r="N332" s="394"/>
      <c r="O332" s="394"/>
      <c r="P332" s="394"/>
      <c r="Q332" s="394"/>
      <c r="R332" s="396"/>
      <c r="S332" s="396"/>
      <c r="T332" s="396"/>
      <c r="U332" s="396"/>
      <c r="V332" s="396"/>
    </row>
    <row r="333" spans="1:25" ht="15" customHeight="1">
      <c r="A333" s="396"/>
      <c r="B333" s="396"/>
      <c r="C333" s="396"/>
      <c r="D333" s="396"/>
      <c r="E333" s="396"/>
      <c r="F333" s="394"/>
      <c r="G333" s="394"/>
      <c r="H333" s="394"/>
      <c r="I333" s="394"/>
      <c r="J333" s="394"/>
      <c r="K333" s="394"/>
      <c r="L333" s="394"/>
      <c r="M333" s="394"/>
      <c r="N333" s="394"/>
      <c r="O333" s="394"/>
      <c r="P333" s="394"/>
      <c r="Q333" s="394"/>
      <c r="R333" s="396"/>
      <c r="S333" s="396"/>
      <c r="T333" s="396"/>
      <c r="U333" s="396"/>
      <c r="V333" s="396"/>
    </row>
    <row r="334" spans="1:25" ht="15" customHeight="1">
      <c r="A334" s="396"/>
      <c r="B334" s="396"/>
      <c r="C334" s="396"/>
      <c r="D334" s="396"/>
      <c r="E334" s="396"/>
      <c r="F334" s="394"/>
      <c r="G334" s="394"/>
      <c r="H334" s="394"/>
      <c r="I334" s="394"/>
      <c r="J334" s="394"/>
      <c r="K334" s="394"/>
      <c r="L334" s="394"/>
      <c r="M334" s="394"/>
      <c r="N334" s="394"/>
      <c r="O334" s="394"/>
      <c r="P334" s="394"/>
      <c r="Q334" s="394"/>
      <c r="R334" s="396"/>
      <c r="S334" s="396"/>
      <c r="T334" s="396"/>
      <c r="U334" s="396"/>
      <c r="V334" s="396"/>
    </row>
    <row r="335" spans="1:25" ht="15" customHeight="1">
      <c r="A335" s="396"/>
      <c r="B335" s="396"/>
      <c r="C335" s="396"/>
      <c r="D335" s="396"/>
      <c r="E335" s="396"/>
      <c r="F335" s="402" t="s">
        <v>209</v>
      </c>
      <c r="G335" s="402"/>
      <c r="H335" s="402"/>
      <c r="I335" s="402"/>
      <c r="J335" s="402"/>
      <c r="K335" s="402"/>
      <c r="L335" s="402"/>
      <c r="M335" s="402"/>
      <c r="N335" s="402"/>
      <c r="O335" s="402"/>
      <c r="P335" s="402"/>
      <c r="Q335" s="402"/>
      <c r="R335" s="396"/>
      <c r="S335" s="396"/>
      <c r="T335" s="396"/>
      <c r="U335" s="396"/>
      <c r="V335" s="396"/>
    </row>
    <row r="336" spans="1:25">
      <c r="A336" s="402" t="e">
        <f>A290</f>
        <v>#REF!</v>
      </c>
      <c r="B336" s="402"/>
      <c r="C336" s="402"/>
      <c r="D336" s="402"/>
      <c r="E336" s="402"/>
      <c r="F336" s="490" t="e">
        <f>F290</f>
        <v>#REF!</v>
      </c>
      <c r="G336" s="490"/>
      <c r="H336" s="490"/>
      <c r="I336" s="490"/>
      <c r="J336" s="490"/>
      <c r="K336" s="490"/>
      <c r="L336" s="490"/>
      <c r="M336" s="490"/>
      <c r="N336" s="490"/>
      <c r="O336" s="490"/>
      <c r="P336" s="490"/>
      <c r="Q336" s="490"/>
      <c r="R336" s="402" t="s">
        <v>192</v>
      </c>
      <c r="S336" s="402"/>
      <c r="T336" s="402"/>
      <c r="U336" s="402"/>
      <c r="V336" s="402"/>
    </row>
    <row r="337" spans="1:22">
      <c r="A337" s="402"/>
      <c r="B337" s="402"/>
      <c r="C337" s="402"/>
      <c r="D337" s="402"/>
      <c r="E337" s="402"/>
      <c r="F337" s="490"/>
      <c r="G337" s="490"/>
      <c r="H337" s="490"/>
      <c r="I337" s="490"/>
      <c r="J337" s="490"/>
      <c r="K337" s="490"/>
      <c r="L337" s="490"/>
      <c r="M337" s="490"/>
      <c r="N337" s="490"/>
      <c r="O337" s="490"/>
      <c r="P337" s="490"/>
      <c r="Q337" s="490"/>
      <c r="R337" s="402"/>
      <c r="S337" s="402"/>
      <c r="T337" s="402"/>
      <c r="U337" s="402"/>
      <c r="V337" s="402"/>
    </row>
    <row r="339" spans="1:22">
      <c r="B339" s="514" t="s">
        <v>127</v>
      </c>
      <c r="C339" s="514"/>
      <c r="D339" s="514"/>
      <c r="E339" s="514"/>
      <c r="F339" s="514"/>
      <c r="G339" s="514"/>
      <c r="H339" s="514"/>
      <c r="I339" s="514"/>
    </row>
    <row r="340" spans="1:22">
      <c r="B340" s="514"/>
      <c r="C340" s="514"/>
      <c r="D340" s="514"/>
      <c r="E340" s="514"/>
      <c r="F340" s="514"/>
      <c r="G340" s="514"/>
      <c r="H340" s="514"/>
      <c r="I340" s="514"/>
    </row>
    <row r="341" spans="1:22">
      <c r="B341" s="514"/>
      <c r="C341" s="514"/>
      <c r="D341" s="514"/>
      <c r="E341" s="514"/>
      <c r="F341" s="514"/>
      <c r="G341" s="514"/>
      <c r="H341" s="514"/>
      <c r="I341" s="514"/>
    </row>
    <row r="342" spans="1:22">
      <c r="B342" s="400" t="s">
        <v>128</v>
      </c>
      <c r="C342" s="400"/>
      <c r="D342" s="400"/>
      <c r="E342" s="400"/>
      <c r="F342" s="400"/>
      <c r="G342" s="400"/>
      <c r="H342" s="400"/>
      <c r="I342" s="400"/>
      <c r="J342" s="400"/>
      <c r="K342" s="400"/>
      <c r="L342" s="400"/>
      <c r="M342" s="400"/>
      <c r="N342" s="400"/>
      <c r="O342" s="400"/>
      <c r="P342" s="400"/>
      <c r="Q342" s="400"/>
      <c r="R342" s="400"/>
      <c r="S342" s="400"/>
      <c r="T342" s="400"/>
      <c r="U342" s="400"/>
    </row>
    <row r="343" spans="1:22">
      <c r="B343" s="400"/>
      <c r="C343" s="400"/>
      <c r="D343" s="400"/>
      <c r="E343" s="400"/>
      <c r="F343" s="400"/>
      <c r="G343" s="400"/>
      <c r="H343" s="400"/>
      <c r="I343" s="400"/>
      <c r="J343" s="400"/>
      <c r="K343" s="400"/>
      <c r="L343" s="400"/>
      <c r="M343" s="400"/>
      <c r="N343" s="400"/>
      <c r="O343" s="400"/>
      <c r="P343" s="400"/>
      <c r="Q343" s="400"/>
      <c r="R343" s="400"/>
      <c r="S343" s="400"/>
      <c r="T343" s="400"/>
      <c r="U343" s="400"/>
    </row>
    <row r="344" spans="1:22">
      <c r="B344" s="353"/>
      <c r="C344" s="353"/>
      <c r="D344" s="353"/>
      <c r="E344" s="353"/>
      <c r="F344" s="353"/>
      <c r="G344" s="353"/>
      <c r="H344" s="353"/>
      <c r="I344" s="353"/>
      <c r="J344" s="353"/>
      <c r="K344" s="353"/>
      <c r="L344" s="353"/>
      <c r="M344" s="353"/>
      <c r="N344" s="353"/>
      <c r="O344" s="353"/>
      <c r="P344" s="353"/>
      <c r="Q344" s="353"/>
      <c r="R344" s="353"/>
      <c r="S344" s="353"/>
      <c r="T344" s="353"/>
      <c r="U344" s="353"/>
    </row>
    <row r="345" spans="1:22">
      <c r="B345" s="353"/>
      <c r="C345" s="353"/>
      <c r="D345" s="353"/>
      <c r="E345" s="353"/>
      <c r="F345" s="353"/>
      <c r="G345" s="353"/>
      <c r="H345" s="353"/>
      <c r="I345" s="353"/>
      <c r="J345" s="353"/>
      <c r="K345" s="353"/>
      <c r="L345" s="353"/>
      <c r="M345" s="353"/>
      <c r="N345" s="353"/>
      <c r="O345" s="353"/>
      <c r="P345" s="353"/>
      <c r="Q345" s="353"/>
      <c r="R345" s="353"/>
      <c r="S345" s="353"/>
      <c r="T345" s="353"/>
      <c r="U345" s="353"/>
    </row>
    <row r="346" spans="1:22">
      <c r="B346" s="353"/>
      <c r="C346" s="353"/>
      <c r="D346" s="353"/>
      <c r="E346" s="353"/>
      <c r="F346" s="353"/>
      <c r="G346" s="353"/>
      <c r="H346" s="353"/>
      <c r="I346" s="353"/>
      <c r="J346" s="353"/>
      <c r="K346" s="353"/>
      <c r="L346" s="353"/>
      <c r="M346" s="353"/>
      <c r="N346" s="353"/>
      <c r="O346" s="353"/>
      <c r="P346" s="353"/>
      <c r="Q346" s="353"/>
      <c r="R346" s="353"/>
      <c r="S346" s="353"/>
      <c r="T346" s="353"/>
      <c r="U346" s="353"/>
    </row>
    <row r="347" spans="1:22">
      <c r="B347" s="353"/>
      <c r="C347" s="353"/>
      <c r="D347" s="353"/>
      <c r="E347" s="353"/>
      <c r="F347" s="353"/>
      <c r="G347" s="353"/>
      <c r="H347" s="353"/>
      <c r="I347" s="353"/>
      <c r="J347" s="353"/>
      <c r="K347" s="353"/>
      <c r="L347" s="353"/>
      <c r="M347" s="353"/>
      <c r="N347" s="353"/>
      <c r="O347" s="353"/>
      <c r="P347" s="353"/>
      <c r="Q347" s="353"/>
      <c r="R347" s="353"/>
      <c r="S347" s="353"/>
      <c r="T347" s="353"/>
      <c r="U347" s="353"/>
    </row>
    <row r="348" spans="1:22">
      <c r="B348" s="353"/>
      <c r="C348" s="353"/>
      <c r="D348" s="353"/>
      <c r="E348" s="353"/>
      <c r="F348" s="353"/>
      <c r="G348" s="353"/>
      <c r="H348" s="353"/>
      <c r="I348" s="353"/>
      <c r="J348" s="353"/>
      <c r="K348" s="353"/>
      <c r="L348" s="353"/>
      <c r="M348" s="353"/>
      <c r="N348" s="353"/>
      <c r="O348" s="353"/>
      <c r="P348" s="353"/>
      <c r="Q348" s="353"/>
      <c r="R348" s="353"/>
      <c r="S348" s="353"/>
      <c r="T348" s="353"/>
      <c r="U348" s="353"/>
    </row>
    <row r="349" spans="1:22">
      <c r="B349" s="353"/>
      <c r="C349" s="353"/>
      <c r="D349" s="353"/>
      <c r="E349" s="353"/>
      <c r="F349" s="353"/>
      <c r="G349" s="353"/>
      <c r="H349" s="353"/>
      <c r="I349" s="353"/>
      <c r="J349" s="353"/>
      <c r="K349" s="353"/>
      <c r="L349" s="353"/>
      <c r="M349" s="353"/>
      <c r="N349" s="353"/>
      <c r="O349" s="353"/>
      <c r="P349" s="353"/>
      <c r="Q349" s="353"/>
      <c r="R349" s="353"/>
      <c r="S349" s="353"/>
      <c r="T349" s="353"/>
      <c r="U349" s="353"/>
    </row>
    <row r="350" spans="1:22">
      <c r="B350" s="353"/>
      <c r="C350" s="353"/>
      <c r="D350" s="353"/>
      <c r="E350" s="353"/>
      <c r="F350" s="353"/>
      <c r="G350" s="353"/>
      <c r="H350" s="353"/>
      <c r="I350" s="353"/>
      <c r="J350" s="353"/>
      <c r="K350" s="353"/>
      <c r="L350" s="353"/>
      <c r="M350" s="353"/>
      <c r="N350" s="353"/>
      <c r="O350" s="353"/>
      <c r="P350" s="353"/>
      <c r="Q350" s="353"/>
      <c r="R350" s="353"/>
      <c r="S350" s="353"/>
      <c r="T350" s="353"/>
      <c r="U350" s="353"/>
    </row>
    <row r="351" spans="1:22">
      <c r="B351" s="353"/>
      <c r="C351" s="353"/>
      <c r="D351" s="353"/>
      <c r="E351" s="353"/>
      <c r="F351" s="353"/>
      <c r="G351" s="353"/>
      <c r="H351" s="353"/>
      <c r="I351" s="353"/>
      <c r="J351" s="353"/>
      <c r="K351" s="353"/>
      <c r="L351" s="353"/>
      <c r="M351" s="353"/>
      <c r="N351" s="353"/>
      <c r="O351" s="353"/>
      <c r="P351" s="353"/>
      <c r="Q351" s="353"/>
      <c r="R351" s="353"/>
      <c r="S351" s="353"/>
      <c r="T351" s="353"/>
      <c r="U351" s="353"/>
    </row>
    <row r="352" spans="1:22">
      <c r="B352" s="353"/>
      <c r="C352" s="353"/>
      <c r="D352" s="353"/>
      <c r="E352" s="353"/>
      <c r="F352" s="353"/>
      <c r="G352" s="353"/>
      <c r="H352" s="353"/>
      <c r="I352" s="353"/>
      <c r="J352" s="353"/>
      <c r="K352" s="353"/>
      <c r="L352" s="353"/>
      <c r="M352" s="353"/>
      <c r="N352" s="353"/>
      <c r="O352" s="353"/>
      <c r="P352" s="353"/>
      <c r="Q352" s="353"/>
      <c r="R352" s="353"/>
      <c r="S352" s="353"/>
      <c r="T352" s="353"/>
      <c r="U352" s="353"/>
    </row>
    <row r="353" spans="2:21">
      <c r="B353" s="353"/>
      <c r="C353" s="353"/>
      <c r="D353" s="353"/>
      <c r="E353" s="353"/>
      <c r="F353" s="353"/>
      <c r="G353" s="353"/>
      <c r="H353" s="353"/>
      <c r="I353" s="353"/>
      <c r="J353" s="353"/>
      <c r="K353" s="353"/>
      <c r="L353" s="353"/>
      <c r="M353" s="353"/>
      <c r="N353" s="353"/>
      <c r="O353" s="353"/>
      <c r="P353" s="353"/>
      <c r="Q353" s="353"/>
      <c r="R353" s="353"/>
      <c r="S353" s="353"/>
      <c r="T353" s="353"/>
      <c r="U353" s="353"/>
    </row>
    <row r="354" spans="2:21">
      <c r="B354" s="353"/>
      <c r="C354" s="353"/>
      <c r="D354" s="353"/>
      <c r="E354" s="353"/>
      <c r="F354" s="353"/>
      <c r="G354" s="353"/>
      <c r="H354" s="353"/>
      <c r="I354" s="353"/>
      <c r="J354" s="353"/>
      <c r="K354" s="353"/>
      <c r="L354" s="353"/>
      <c r="M354" s="353"/>
      <c r="N354" s="353"/>
      <c r="O354" s="353"/>
      <c r="P354" s="353"/>
      <c r="Q354" s="353"/>
      <c r="R354" s="353"/>
      <c r="S354" s="353"/>
      <c r="T354" s="353"/>
      <c r="U354" s="353"/>
    </row>
    <row r="355" spans="2:21">
      <c r="B355" s="353"/>
      <c r="C355" s="353"/>
      <c r="D355" s="353"/>
      <c r="E355" s="353"/>
      <c r="F355" s="353"/>
      <c r="G355" s="353"/>
      <c r="H355" s="353"/>
      <c r="I355" s="353"/>
      <c r="J355" s="353"/>
      <c r="K355" s="353"/>
      <c r="L355" s="353"/>
      <c r="M355" s="353"/>
      <c r="N355" s="353"/>
      <c r="O355" s="353"/>
      <c r="P355" s="353"/>
      <c r="Q355" s="353"/>
      <c r="R355" s="353"/>
      <c r="S355" s="353"/>
      <c r="T355" s="353"/>
      <c r="U355" s="353"/>
    </row>
    <row r="356" spans="2:21">
      <c r="B356" s="353"/>
      <c r="C356" s="353"/>
      <c r="D356" s="353"/>
      <c r="E356" s="353"/>
      <c r="F356" s="353"/>
      <c r="G356" s="353"/>
      <c r="H356" s="353"/>
      <c r="I356" s="353"/>
      <c r="J356" s="353"/>
      <c r="K356" s="353"/>
      <c r="L356" s="353"/>
      <c r="M356" s="353"/>
      <c r="N356" s="353"/>
      <c r="O356" s="353"/>
      <c r="P356" s="353"/>
      <c r="Q356" s="353"/>
      <c r="R356" s="353"/>
      <c r="S356" s="353"/>
      <c r="T356" s="353"/>
      <c r="U356" s="353"/>
    </row>
    <row r="357" spans="2:21">
      <c r="B357" s="353"/>
      <c r="C357" s="353"/>
      <c r="D357" s="353"/>
      <c r="E357" s="353"/>
      <c r="F357" s="353"/>
      <c r="G357" s="353"/>
      <c r="H357" s="353"/>
      <c r="I357" s="353"/>
      <c r="J357" s="353"/>
      <c r="K357" s="353"/>
      <c r="L357" s="353"/>
      <c r="M357" s="353"/>
      <c r="N357" s="353"/>
      <c r="O357" s="353"/>
      <c r="P357" s="353"/>
      <c r="Q357" s="353"/>
      <c r="R357" s="353"/>
      <c r="S357" s="353"/>
      <c r="T357" s="353"/>
      <c r="U357" s="353"/>
    </row>
    <row r="358" spans="2:21">
      <c r="F358" s="353"/>
      <c r="G358" s="353"/>
      <c r="H358" s="353"/>
      <c r="I358" s="353"/>
      <c r="J358" s="353"/>
      <c r="K358" s="353"/>
      <c r="L358" s="353"/>
      <c r="M358" s="353"/>
      <c r="N358" s="353"/>
      <c r="O358" s="353"/>
      <c r="P358" s="353"/>
      <c r="Q358" s="353"/>
      <c r="R358" s="353"/>
    </row>
    <row r="359" spans="2:21">
      <c r="F359" s="353"/>
      <c r="G359" s="353"/>
      <c r="H359" s="353"/>
      <c r="I359" s="353"/>
      <c r="J359" s="353"/>
      <c r="K359" s="353"/>
      <c r="L359" s="353"/>
      <c r="M359" s="353"/>
      <c r="N359" s="353"/>
      <c r="O359" s="353"/>
      <c r="P359" s="353"/>
      <c r="Q359" s="353"/>
      <c r="R359" s="353"/>
    </row>
    <row r="360" spans="2:21">
      <c r="F360" s="353"/>
      <c r="G360" s="353"/>
      <c r="H360" s="353"/>
      <c r="I360" s="353"/>
      <c r="J360" s="353"/>
      <c r="K360" s="353"/>
      <c r="L360" s="353"/>
      <c r="M360" s="353"/>
      <c r="N360" s="353"/>
      <c r="O360" s="353"/>
      <c r="P360" s="353"/>
      <c r="Q360" s="353"/>
      <c r="R360" s="353"/>
    </row>
    <row r="361" spans="2:21">
      <c r="F361" s="353"/>
      <c r="G361" s="353"/>
      <c r="H361" s="353"/>
      <c r="I361" s="353"/>
      <c r="J361" s="353"/>
      <c r="K361" s="353"/>
      <c r="L361" s="353"/>
      <c r="M361" s="353"/>
      <c r="N361" s="353"/>
      <c r="O361" s="353"/>
      <c r="P361" s="353"/>
      <c r="Q361" s="353"/>
      <c r="R361" s="353"/>
    </row>
    <row r="362" spans="2:21">
      <c r="F362" s="353"/>
      <c r="G362" s="353"/>
      <c r="H362" s="353"/>
      <c r="I362" s="353"/>
      <c r="J362" s="353"/>
      <c r="K362" s="353"/>
      <c r="L362" s="353"/>
      <c r="M362" s="353"/>
      <c r="N362" s="353"/>
      <c r="O362" s="353"/>
      <c r="P362" s="353"/>
      <c r="Q362" s="353"/>
      <c r="R362" s="353"/>
    </row>
    <row r="363" spans="2:21">
      <c r="F363" s="353"/>
      <c r="G363" s="353"/>
      <c r="H363" s="353"/>
      <c r="I363" s="353"/>
      <c r="J363" s="353"/>
      <c r="K363" s="353"/>
      <c r="L363" s="353"/>
      <c r="M363" s="353"/>
      <c r="N363" s="353"/>
      <c r="O363" s="353"/>
      <c r="P363" s="353"/>
      <c r="Q363" s="353"/>
      <c r="R363" s="353"/>
    </row>
    <row r="364" spans="2:21">
      <c r="F364" s="353"/>
      <c r="G364" s="353"/>
      <c r="H364" s="353"/>
      <c r="I364" s="353"/>
      <c r="J364" s="353"/>
      <c r="K364" s="353"/>
      <c r="L364" s="353"/>
      <c r="M364" s="353"/>
      <c r="N364" s="353"/>
      <c r="O364" s="353"/>
      <c r="P364" s="353"/>
      <c r="Q364" s="353"/>
      <c r="R364" s="353"/>
    </row>
    <row r="365" spans="2:21">
      <c r="F365" s="353"/>
      <c r="G365" s="353"/>
      <c r="H365" s="353"/>
      <c r="I365" s="353"/>
      <c r="J365" s="353"/>
      <c r="K365" s="353"/>
      <c r="L365" s="353"/>
      <c r="M365" s="353"/>
      <c r="N365" s="353"/>
      <c r="O365" s="353"/>
      <c r="P365" s="353"/>
      <c r="Q365" s="353"/>
      <c r="R365" s="353"/>
    </row>
    <row r="366" spans="2:21">
      <c r="F366" s="353"/>
      <c r="G366" s="353"/>
      <c r="H366" s="353"/>
      <c r="I366" s="353"/>
      <c r="J366" s="353"/>
      <c r="K366" s="353"/>
      <c r="L366" s="353"/>
      <c r="M366" s="353"/>
      <c r="N366" s="353"/>
      <c r="O366" s="353"/>
      <c r="P366" s="353"/>
      <c r="Q366" s="353"/>
      <c r="R366" s="353"/>
    </row>
    <row r="367" spans="2:21">
      <c r="F367" s="353"/>
      <c r="G367" s="353"/>
      <c r="H367" s="353"/>
      <c r="I367" s="353"/>
      <c r="J367" s="353"/>
      <c r="K367" s="353"/>
      <c r="L367" s="353"/>
      <c r="M367" s="353"/>
      <c r="N367" s="353"/>
      <c r="O367" s="353"/>
      <c r="P367" s="353"/>
      <c r="Q367" s="353"/>
      <c r="R367" s="353"/>
    </row>
    <row r="368" spans="2:21">
      <c r="F368" s="353"/>
      <c r="G368" s="353"/>
      <c r="H368" s="353"/>
      <c r="I368" s="353"/>
      <c r="J368" s="353"/>
      <c r="K368" s="353"/>
      <c r="L368" s="353"/>
      <c r="M368" s="353"/>
      <c r="N368" s="353"/>
      <c r="O368" s="353"/>
      <c r="P368" s="353"/>
      <c r="Q368" s="353"/>
      <c r="R368" s="353"/>
    </row>
    <row r="369" spans="1:22">
      <c r="F369" s="353"/>
      <c r="G369" s="353"/>
      <c r="H369" s="353"/>
      <c r="I369" s="353"/>
      <c r="J369" s="353"/>
      <c r="K369" s="353"/>
      <c r="L369" s="353"/>
      <c r="M369" s="353"/>
      <c r="N369" s="353"/>
      <c r="O369" s="353"/>
      <c r="P369" s="353"/>
      <c r="Q369" s="353"/>
      <c r="R369" s="353"/>
    </row>
    <row r="370" spans="1:22">
      <c r="F370" s="353"/>
      <c r="G370" s="353"/>
      <c r="H370" s="353"/>
      <c r="I370" s="353"/>
      <c r="J370" s="353"/>
      <c r="K370" s="353"/>
      <c r="L370" s="353"/>
      <c r="M370" s="353"/>
      <c r="N370" s="353"/>
      <c r="O370" s="353"/>
      <c r="P370" s="353"/>
      <c r="Q370" s="353"/>
      <c r="R370" s="353"/>
    </row>
    <row r="371" spans="1:22">
      <c r="F371" s="353"/>
      <c r="G371" s="353"/>
      <c r="H371" s="353"/>
      <c r="I371" s="353"/>
      <c r="J371" s="353"/>
      <c r="K371" s="353"/>
      <c r="L371" s="353"/>
      <c r="M371" s="353"/>
      <c r="N371" s="353"/>
      <c r="O371" s="353"/>
      <c r="P371" s="353"/>
      <c r="Q371" s="353"/>
      <c r="R371" s="353"/>
    </row>
    <row r="372" spans="1:22">
      <c r="F372" s="353"/>
      <c r="G372" s="353"/>
      <c r="H372" s="353"/>
      <c r="I372" s="353"/>
      <c r="J372" s="353"/>
      <c r="K372" s="353"/>
      <c r="L372" s="353"/>
      <c r="M372" s="353"/>
      <c r="N372" s="353"/>
      <c r="O372" s="353"/>
      <c r="P372" s="353"/>
      <c r="Q372" s="353"/>
      <c r="R372" s="353"/>
    </row>
    <row r="373" spans="1:22">
      <c r="F373" s="353"/>
      <c r="G373" s="353"/>
      <c r="H373" s="353"/>
      <c r="I373" s="353"/>
      <c r="J373" s="353"/>
      <c r="K373" s="353"/>
      <c r="L373" s="353"/>
      <c r="M373" s="353"/>
      <c r="N373" s="353"/>
      <c r="O373" s="353"/>
      <c r="P373" s="353"/>
      <c r="Q373" s="353"/>
      <c r="R373" s="353"/>
    </row>
    <row r="375" spans="1:22" ht="15" customHeight="1">
      <c r="A375" s="396"/>
      <c r="B375" s="396"/>
      <c r="C375" s="396"/>
      <c r="D375" s="396"/>
      <c r="E375" s="396"/>
      <c r="F375" s="394" t="s">
        <v>0</v>
      </c>
      <c r="G375" s="394"/>
      <c r="H375" s="394"/>
      <c r="I375" s="394"/>
      <c r="J375" s="394"/>
      <c r="K375" s="394"/>
      <c r="L375" s="394"/>
      <c r="M375" s="394"/>
      <c r="N375" s="394"/>
      <c r="O375" s="394"/>
      <c r="P375" s="394"/>
      <c r="Q375" s="394"/>
      <c r="R375" s="396"/>
      <c r="S375" s="396"/>
      <c r="T375" s="396"/>
      <c r="U375" s="396"/>
      <c r="V375" s="396"/>
    </row>
    <row r="376" spans="1:22" ht="15" customHeight="1">
      <c r="A376" s="396"/>
      <c r="B376" s="396"/>
      <c r="C376" s="396"/>
      <c r="D376" s="396"/>
      <c r="E376" s="396"/>
      <c r="F376" s="394"/>
      <c r="G376" s="394"/>
      <c r="H376" s="394"/>
      <c r="I376" s="394"/>
      <c r="J376" s="394"/>
      <c r="K376" s="394"/>
      <c r="L376" s="394"/>
      <c r="M376" s="394"/>
      <c r="N376" s="394"/>
      <c r="O376" s="394"/>
      <c r="P376" s="394"/>
      <c r="Q376" s="394"/>
      <c r="R376" s="396"/>
      <c r="S376" s="396"/>
      <c r="T376" s="396"/>
      <c r="U376" s="396"/>
      <c r="V376" s="396"/>
    </row>
    <row r="377" spans="1:22" ht="15" customHeight="1">
      <c r="A377" s="396"/>
      <c r="B377" s="396"/>
      <c r="C377" s="396"/>
      <c r="D377" s="396"/>
      <c r="E377" s="396"/>
      <c r="F377" s="394"/>
      <c r="G377" s="394"/>
      <c r="H377" s="394"/>
      <c r="I377" s="394"/>
      <c r="J377" s="394"/>
      <c r="K377" s="394"/>
      <c r="L377" s="394"/>
      <c r="M377" s="394"/>
      <c r="N377" s="394"/>
      <c r="O377" s="394"/>
      <c r="P377" s="394"/>
      <c r="Q377" s="394"/>
      <c r="R377" s="396"/>
      <c r="S377" s="396"/>
      <c r="T377" s="396"/>
      <c r="U377" s="396"/>
      <c r="V377" s="396"/>
    </row>
    <row r="378" spans="1:22" ht="15" customHeight="1">
      <c r="A378" s="396"/>
      <c r="B378" s="396"/>
      <c r="C378" s="396"/>
      <c r="D378" s="396"/>
      <c r="E378" s="396"/>
      <c r="F378" s="394"/>
      <c r="G378" s="394"/>
      <c r="H378" s="394"/>
      <c r="I378" s="394"/>
      <c r="J378" s="394"/>
      <c r="K378" s="394"/>
      <c r="L378" s="394"/>
      <c r="M378" s="394"/>
      <c r="N378" s="394"/>
      <c r="O378" s="394"/>
      <c r="P378" s="394"/>
      <c r="Q378" s="394"/>
      <c r="R378" s="396"/>
      <c r="S378" s="396"/>
      <c r="T378" s="396"/>
      <c r="U378" s="396"/>
      <c r="V378" s="396"/>
    </row>
    <row r="379" spans="1:22" ht="15" customHeight="1">
      <c r="A379" s="396"/>
      <c r="B379" s="396"/>
      <c r="C379" s="396"/>
      <c r="D379" s="396"/>
      <c r="E379" s="396"/>
      <c r="F379" s="402" t="s">
        <v>209</v>
      </c>
      <c r="G379" s="402"/>
      <c r="H379" s="402"/>
      <c r="I379" s="402"/>
      <c r="J379" s="402"/>
      <c r="K379" s="402"/>
      <c r="L379" s="402"/>
      <c r="M379" s="402"/>
      <c r="N379" s="402"/>
      <c r="O379" s="402"/>
      <c r="P379" s="402"/>
      <c r="Q379" s="402"/>
      <c r="R379" s="396"/>
      <c r="S379" s="396"/>
      <c r="T379" s="396"/>
      <c r="U379" s="396"/>
      <c r="V379" s="396"/>
    </row>
    <row r="380" spans="1:22">
      <c r="A380" s="402" t="e">
        <f>A336</f>
        <v>#REF!</v>
      </c>
      <c r="B380" s="402"/>
      <c r="C380" s="402"/>
      <c r="D380" s="402"/>
      <c r="E380" s="402"/>
      <c r="F380" s="490" t="e">
        <f>F336</f>
        <v>#REF!</v>
      </c>
      <c r="G380" s="490"/>
      <c r="H380" s="490"/>
      <c r="I380" s="490"/>
      <c r="J380" s="490"/>
      <c r="K380" s="490"/>
      <c r="L380" s="490"/>
      <c r="M380" s="490"/>
      <c r="N380" s="490"/>
      <c r="O380" s="490"/>
      <c r="P380" s="490"/>
      <c r="Q380" s="490"/>
      <c r="R380" s="402" t="s">
        <v>195</v>
      </c>
      <c r="S380" s="402"/>
      <c r="T380" s="402"/>
      <c r="U380" s="402"/>
      <c r="V380" s="402"/>
    </row>
    <row r="381" spans="1:22">
      <c r="A381" s="402"/>
      <c r="B381" s="402"/>
      <c r="C381" s="402"/>
      <c r="D381" s="402"/>
      <c r="E381" s="402"/>
      <c r="F381" s="490"/>
      <c r="G381" s="490"/>
      <c r="H381" s="490"/>
      <c r="I381" s="490"/>
      <c r="J381" s="490"/>
      <c r="K381" s="490"/>
      <c r="L381" s="490"/>
      <c r="M381" s="490"/>
      <c r="N381" s="490"/>
      <c r="O381" s="490"/>
      <c r="P381" s="490"/>
      <c r="Q381" s="490"/>
      <c r="R381" s="402"/>
      <c r="S381" s="402"/>
      <c r="T381" s="402"/>
      <c r="U381" s="402"/>
      <c r="V381" s="402"/>
    </row>
    <row r="383" spans="1:22">
      <c r="B383" s="399" t="s">
        <v>291</v>
      </c>
      <c r="C383" s="400"/>
      <c r="D383" s="400"/>
      <c r="E383" s="400"/>
      <c r="F383" s="400"/>
      <c r="G383" s="400"/>
      <c r="H383" s="400"/>
      <c r="I383" s="400"/>
      <c r="J383" s="400"/>
      <c r="K383" s="400"/>
      <c r="L383" s="400"/>
      <c r="M383" s="400"/>
      <c r="N383" s="400"/>
      <c r="O383" s="400"/>
      <c r="P383" s="400"/>
      <c r="Q383" s="400"/>
      <c r="R383" s="400"/>
      <c r="S383" s="400"/>
    </row>
    <row r="384" spans="1:22">
      <c r="B384" s="400"/>
      <c r="C384" s="400"/>
      <c r="D384" s="400"/>
      <c r="E384" s="400"/>
      <c r="F384" s="400"/>
      <c r="G384" s="400"/>
      <c r="H384" s="400"/>
      <c r="I384" s="400"/>
      <c r="J384" s="400"/>
      <c r="K384" s="400"/>
      <c r="L384" s="400"/>
      <c r="M384" s="400"/>
      <c r="N384" s="400"/>
      <c r="O384" s="400"/>
      <c r="P384" s="400"/>
      <c r="Q384" s="400"/>
      <c r="R384" s="400"/>
      <c r="S384" s="400"/>
    </row>
    <row r="385" spans="2:19">
      <c r="B385" s="400"/>
      <c r="C385" s="400"/>
      <c r="D385" s="400"/>
      <c r="E385" s="400"/>
      <c r="F385" s="400"/>
      <c r="G385" s="400"/>
      <c r="H385" s="400"/>
      <c r="I385" s="400"/>
      <c r="J385" s="400"/>
      <c r="K385" s="400"/>
      <c r="L385" s="400"/>
      <c r="M385" s="400"/>
      <c r="N385" s="400"/>
      <c r="O385" s="400"/>
      <c r="P385" s="400"/>
      <c r="Q385" s="400"/>
      <c r="R385" s="400"/>
      <c r="S385" s="400"/>
    </row>
    <row r="386" spans="2:19">
      <c r="B386" s="400"/>
      <c r="C386" s="400"/>
      <c r="D386" s="400"/>
      <c r="E386" s="400"/>
      <c r="F386" s="400"/>
      <c r="G386" s="400"/>
      <c r="H386" s="400"/>
      <c r="I386" s="400"/>
      <c r="J386" s="400"/>
      <c r="K386" s="400"/>
      <c r="L386" s="400"/>
      <c r="M386" s="400"/>
      <c r="N386" s="400"/>
      <c r="O386" s="400"/>
      <c r="P386" s="400"/>
      <c r="Q386" s="400"/>
      <c r="R386" s="400"/>
      <c r="S386" s="400"/>
    </row>
    <row r="387" spans="2:19">
      <c r="B387" s="400"/>
      <c r="C387" s="400"/>
      <c r="D387" s="400"/>
      <c r="E387" s="400"/>
      <c r="F387" s="400"/>
      <c r="G387" s="400"/>
      <c r="H387" s="400"/>
      <c r="I387" s="400"/>
      <c r="J387" s="400"/>
      <c r="K387" s="400"/>
      <c r="L387" s="400"/>
      <c r="M387" s="400"/>
      <c r="N387" s="400"/>
      <c r="O387" s="400"/>
      <c r="P387" s="400"/>
      <c r="Q387" s="400"/>
      <c r="R387" s="400"/>
      <c r="S387" s="400"/>
    </row>
    <row r="388" spans="2:19">
      <c r="B388" s="400"/>
      <c r="C388" s="400"/>
      <c r="D388" s="400"/>
      <c r="E388" s="400"/>
      <c r="F388" s="400"/>
      <c r="G388" s="400"/>
      <c r="H388" s="400"/>
      <c r="I388" s="400"/>
      <c r="J388" s="400"/>
      <c r="K388" s="400"/>
      <c r="L388" s="400"/>
      <c r="M388" s="400"/>
      <c r="N388" s="400"/>
      <c r="O388" s="400"/>
      <c r="P388" s="400"/>
      <c r="Q388" s="400"/>
      <c r="R388" s="400"/>
      <c r="S388" s="400"/>
    </row>
    <row r="389" spans="2:19">
      <c r="B389" s="400"/>
      <c r="C389" s="400"/>
      <c r="D389" s="400"/>
      <c r="E389" s="400"/>
      <c r="F389" s="400"/>
      <c r="G389" s="400"/>
      <c r="H389" s="400"/>
      <c r="I389" s="400"/>
      <c r="J389" s="400"/>
      <c r="K389" s="400"/>
      <c r="L389" s="400"/>
      <c r="M389" s="400"/>
      <c r="N389" s="400"/>
      <c r="O389" s="400"/>
      <c r="P389" s="400"/>
      <c r="Q389" s="400"/>
      <c r="R389" s="400"/>
      <c r="S389" s="400"/>
    </row>
    <row r="390" spans="2:19">
      <c r="B390" s="400"/>
      <c r="C390" s="400"/>
      <c r="D390" s="400"/>
      <c r="E390" s="400"/>
      <c r="F390" s="400"/>
      <c r="G390" s="400"/>
      <c r="H390" s="400"/>
      <c r="I390" s="400"/>
      <c r="J390" s="400"/>
      <c r="K390" s="400"/>
      <c r="L390" s="400"/>
      <c r="M390" s="400"/>
      <c r="N390" s="400"/>
      <c r="O390" s="400"/>
      <c r="P390" s="400"/>
      <c r="Q390" s="400"/>
      <c r="R390" s="400"/>
      <c r="S390" s="400"/>
    </row>
    <row r="391" spans="2:19">
      <c r="B391" s="400"/>
      <c r="C391" s="400"/>
      <c r="D391" s="400"/>
      <c r="E391" s="400"/>
      <c r="F391" s="400"/>
      <c r="G391" s="400"/>
      <c r="H391" s="400"/>
      <c r="I391" s="400"/>
      <c r="J391" s="400"/>
      <c r="K391" s="400"/>
      <c r="L391" s="400"/>
      <c r="M391" s="400"/>
      <c r="N391" s="400"/>
      <c r="O391" s="400"/>
      <c r="P391" s="400"/>
      <c r="Q391" s="400"/>
      <c r="R391" s="400"/>
      <c r="S391" s="400"/>
    </row>
    <row r="392" spans="2:19">
      <c r="B392" s="400"/>
      <c r="C392" s="400"/>
      <c r="D392" s="400"/>
      <c r="E392" s="400"/>
      <c r="F392" s="400"/>
      <c r="G392" s="400"/>
      <c r="H392" s="400"/>
      <c r="I392" s="400"/>
      <c r="J392" s="400"/>
      <c r="K392" s="400"/>
      <c r="L392" s="400"/>
      <c r="M392" s="400"/>
      <c r="N392" s="400"/>
      <c r="O392" s="400"/>
      <c r="P392" s="400"/>
      <c r="Q392" s="400"/>
      <c r="R392" s="400"/>
      <c r="S392" s="400"/>
    </row>
    <row r="393" spans="2:19">
      <c r="B393" s="400"/>
      <c r="C393" s="400"/>
      <c r="D393" s="400"/>
      <c r="E393" s="400"/>
      <c r="F393" s="400"/>
      <c r="G393" s="400"/>
      <c r="H393" s="400"/>
      <c r="I393" s="400"/>
      <c r="J393" s="400"/>
      <c r="K393" s="400"/>
      <c r="L393" s="400"/>
      <c r="M393" s="400"/>
      <c r="N393" s="400"/>
      <c r="O393" s="400"/>
      <c r="P393" s="400"/>
      <c r="Q393" s="400"/>
      <c r="R393" s="400"/>
      <c r="S393" s="400"/>
    </row>
    <row r="394" spans="2:19">
      <c r="B394" s="400"/>
      <c r="C394" s="400"/>
      <c r="D394" s="400"/>
      <c r="E394" s="400"/>
      <c r="F394" s="400"/>
      <c r="G394" s="400"/>
      <c r="H394" s="400"/>
      <c r="I394" s="400"/>
      <c r="J394" s="400"/>
      <c r="K394" s="400"/>
      <c r="L394" s="400"/>
      <c r="M394" s="400"/>
      <c r="N394" s="400"/>
      <c r="O394" s="400"/>
      <c r="P394" s="400"/>
      <c r="Q394" s="400"/>
      <c r="R394" s="400"/>
      <c r="S394" s="400"/>
    </row>
    <row r="395" spans="2:19">
      <c r="B395" s="400"/>
      <c r="C395" s="400"/>
      <c r="D395" s="400"/>
      <c r="E395" s="400"/>
      <c r="F395" s="400"/>
      <c r="G395" s="400"/>
      <c r="H395" s="400"/>
      <c r="I395" s="400"/>
      <c r="J395" s="400"/>
      <c r="K395" s="400"/>
      <c r="L395" s="400"/>
      <c r="M395" s="400"/>
      <c r="N395" s="400"/>
      <c r="O395" s="400"/>
      <c r="P395" s="400"/>
      <c r="Q395" s="400"/>
      <c r="R395" s="400"/>
      <c r="S395" s="400"/>
    </row>
    <row r="396" spans="2:19">
      <c r="B396" s="400"/>
      <c r="C396" s="400"/>
      <c r="D396" s="400"/>
      <c r="E396" s="400"/>
      <c r="F396" s="400"/>
      <c r="G396" s="400"/>
      <c r="H396" s="400"/>
      <c r="I396" s="400"/>
      <c r="J396" s="400"/>
      <c r="K396" s="400"/>
      <c r="L396" s="400"/>
      <c r="M396" s="400"/>
      <c r="N396" s="400"/>
      <c r="O396" s="400"/>
      <c r="P396" s="400"/>
      <c r="Q396" s="400"/>
      <c r="R396" s="400"/>
      <c r="S396" s="400"/>
    </row>
    <row r="397" spans="2:19">
      <c r="B397" s="400"/>
      <c r="C397" s="400"/>
      <c r="D397" s="400"/>
      <c r="E397" s="400"/>
      <c r="F397" s="400"/>
      <c r="G397" s="400"/>
      <c r="H397" s="400"/>
      <c r="I397" s="400"/>
      <c r="J397" s="400"/>
      <c r="K397" s="400"/>
      <c r="L397" s="400"/>
      <c r="M397" s="400"/>
      <c r="N397" s="400"/>
      <c r="O397" s="400"/>
      <c r="P397" s="400"/>
      <c r="Q397" s="400"/>
      <c r="R397" s="400"/>
      <c r="S397" s="400"/>
    </row>
    <row r="398" spans="2:19" ht="15" customHeight="1">
      <c r="B398" s="399" t="s">
        <v>129</v>
      </c>
      <c r="C398" s="399"/>
      <c r="D398" s="399"/>
      <c r="E398" s="399"/>
      <c r="F398" s="399"/>
      <c r="G398" s="399"/>
      <c r="H398" s="399"/>
      <c r="I398" s="399"/>
      <c r="J398" s="399"/>
      <c r="K398" s="399"/>
      <c r="L398" s="399"/>
      <c r="M398" s="399"/>
      <c r="N398" s="399"/>
      <c r="O398" s="399"/>
      <c r="P398" s="399"/>
      <c r="Q398" s="399"/>
      <c r="R398" s="399"/>
      <c r="S398" s="3"/>
    </row>
    <row r="399" spans="2:19">
      <c r="B399" s="399"/>
      <c r="C399" s="399"/>
      <c r="D399" s="399"/>
      <c r="E399" s="399"/>
      <c r="F399" s="399"/>
      <c r="G399" s="399"/>
      <c r="H399" s="399"/>
      <c r="I399" s="399"/>
      <c r="J399" s="399"/>
      <c r="K399" s="399"/>
      <c r="L399" s="399"/>
      <c r="M399" s="399"/>
      <c r="N399" s="399"/>
      <c r="O399" s="399"/>
      <c r="P399" s="399"/>
      <c r="Q399" s="399"/>
      <c r="R399" s="399"/>
      <c r="S399" s="3"/>
    </row>
    <row r="400" spans="2:19">
      <c r="B400" s="399"/>
      <c r="C400" s="399"/>
      <c r="D400" s="399"/>
      <c r="E400" s="399"/>
      <c r="F400" s="399"/>
      <c r="G400" s="399"/>
      <c r="H400" s="399"/>
      <c r="I400" s="399"/>
      <c r="J400" s="399"/>
      <c r="K400" s="399"/>
      <c r="L400" s="399"/>
      <c r="M400" s="399"/>
      <c r="N400" s="399"/>
      <c r="O400" s="399"/>
      <c r="P400" s="399"/>
      <c r="Q400" s="399"/>
      <c r="R400" s="399"/>
      <c r="S400" s="3"/>
    </row>
    <row r="401" spans="2:21">
      <c r="B401" s="399"/>
      <c r="C401" s="399"/>
      <c r="D401" s="399"/>
      <c r="E401" s="399"/>
      <c r="F401" s="399"/>
      <c r="G401" s="399"/>
      <c r="H401" s="399"/>
      <c r="I401" s="399"/>
      <c r="J401" s="399"/>
      <c r="K401" s="399"/>
      <c r="L401" s="399"/>
      <c r="M401" s="399"/>
      <c r="N401" s="399"/>
      <c r="O401" s="399"/>
      <c r="P401" s="399"/>
      <c r="Q401" s="399"/>
      <c r="R401" s="399"/>
      <c r="S401" s="3"/>
    </row>
    <row r="402" spans="2:21">
      <c r="B402" s="399"/>
      <c r="C402" s="399"/>
      <c r="D402" s="399"/>
      <c r="E402" s="399"/>
      <c r="F402" s="399"/>
      <c r="G402" s="399"/>
      <c r="H402" s="399"/>
      <c r="I402" s="399"/>
      <c r="J402" s="399"/>
      <c r="K402" s="399"/>
      <c r="L402" s="399"/>
      <c r="M402" s="399"/>
      <c r="N402" s="399"/>
      <c r="O402" s="399"/>
      <c r="P402" s="399"/>
      <c r="Q402" s="399"/>
      <c r="R402" s="399"/>
      <c r="S402" s="3"/>
    </row>
    <row r="403" spans="2:21">
      <c r="B403" s="399"/>
      <c r="C403" s="399"/>
      <c r="D403" s="399"/>
      <c r="E403" s="399"/>
      <c r="F403" s="399"/>
      <c r="G403" s="399"/>
      <c r="H403" s="399"/>
      <c r="I403" s="399"/>
      <c r="J403" s="399"/>
      <c r="K403" s="399"/>
      <c r="L403" s="399"/>
      <c r="M403" s="399"/>
      <c r="N403" s="399"/>
      <c r="O403" s="399"/>
      <c r="P403" s="399"/>
      <c r="Q403" s="399"/>
      <c r="R403" s="399"/>
      <c r="S403" s="3"/>
    </row>
    <row r="404" spans="2:21">
      <c r="B404" s="399"/>
      <c r="C404" s="399"/>
      <c r="D404" s="399"/>
      <c r="E404" s="399"/>
      <c r="F404" s="399"/>
      <c r="G404" s="399"/>
      <c r="H404" s="399"/>
      <c r="I404" s="399"/>
      <c r="J404" s="399"/>
      <c r="K404" s="399"/>
      <c r="L404" s="399"/>
      <c r="M404" s="399"/>
      <c r="N404" s="399"/>
      <c r="O404" s="399"/>
      <c r="P404" s="399"/>
      <c r="Q404" s="399"/>
      <c r="R404" s="399"/>
      <c r="S404" s="3"/>
    </row>
    <row r="405" spans="2:21">
      <c r="B405" s="399"/>
      <c r="C405" s="399"/>
      <c r="D405" s="399"/>
      <c r="E405" s="399"/>
      <c r="F405" s="399"/>
      <c r="G405" s="399"/>
      <c r="H405" s="399"/>
      <c r="I405" s="399"/>
      <c r="J405" s="399"/>
      <c r="K405" s="399"/>
      <c r="L405" s="399"/>
      <c r="M405" s="399"/>
      <c r="N405" s="399"/>
      <c r="O405" s="399"/>
      <c r="P405" s="399"/>
      <c r="Q405" s="399"/>
      <c r="R405" s="399"/>
      <c r="S405" s="3"/>
    </row>
    <row r="406" spans="2:21">
      <c r="B406" s="493" t="s">
        <v>130</v>
      </c>
      <c r="C406" s="493"/>
      <c r="D406" s="493"/>
      <c r="E406" s="493"/>
      <c r="F406" s="493"/>
      <c r="G406" s="493"/>
      <c r="H406" s="493"/>
      <c r="I406" s="493"/>
      <c r="J406" s="493"/>
      <c r="K406" s="3"/>
      <c r="L406" s="3"/>
      <c r="M406" s="3"/>
      <c r="N406" s="3"/>
      <c r="O406" s="3"/>
      <c r="P406" s="3"/>
      <c r="Q406" s="3"/>
      <c r="R406" s="3"/>
      <c r="S406" s="3"/>
    </row>
    <row r="407" spans="2:21">
      <c r="B407" s="493"/>
      <c r="C407" s="493"/>
      <c r="D407" s="493"/>
      <c r="E407" s="493"/>
      <c r="F407" s="493"/>
      <c r="G407" s="493"/>
      <c r="H407" s="493"/>
      <c r="I407" s="493"/>
      <c r="J407" s="493"/>
      <c r="K407" s="3"/>
      <c r="L407" s="3"/>
      <c r="M407" s="3"/>
      <c r="N407" s="3"/>
      <c r="O407" s="3"/>
      <c r="P407" s="3"/>
      <c r="Q407" s="3"/>
      <c r="R407" s="3"/>
      <c r="S407" s="3"/>
    </row>
    <row r="408" spans="2:21">
      <c r="B408" s="353"/>
      <c r="C408" s="353"/>
      <c r="D408" s="353"/>
      <c r="E408" s="353"/>
      <c r="F408" s="353"/>
      <c r="G408" s="353"/>
      <c r="H408" s="353"/>
      <c r="I408" s="353"/>
      <c r="J408" s="353"/>
    </row>
    <row r="409" spans="2:21">
      <c r="B409" s="353"/>
      <c r="C409" s="353"/>
      <c r="D409" s="353"/>
      <c r="E409" s="353"/>
      <c r="F409" s="353"/>
      <c r="G409" s="353"/>
      <c r="H409" s="353"/>
      <c r="I409" s="353"/>
      <c r="J409" s="353"/>
    </row>
    <row r="410" spans="2:21">
      <c r="B410" s="353"/>
      <c r="C410" s="353"/>
      <c r="D410" s="353"/>
      <c r="E410" s="353"/>
      <c r="F410" s="353"/>
      <c r="G410" s="353"/>
      <c r="H410" s="353"/>
      <c r="I410" s="353"/>
      <c r="J410" s="353"/>
    </row>
    <row r="411" spans="2:21">
      <c r="B411" s="399" t="s">
        <v>131</v>
      </c>
      <c r="C411" s="400"/>
      <c r="D411" s="400"/>
      <c r="E411" s="400"/>
      <c r="F411" s="400"/>
      <c r="G411" s="400"/>
      <c r="H411" s="400"/>
      <c r="I411" s="400"/>
      <c r="J411" s="400"/>
      <c r="K411" s="400"/>
      <c r="L411" s="400"/>
      <c r="M411" s="400"/>
      <c r="N411" s="400"/>
      <c r="O411" s="400"/>
      <c r="P411" s="400"/>
      <c r="Q411" s="400"/>
      <c r="R411" s="400"/>
      <c r="S411" s="400"/>
      <c r="T411" s="400"/>
      <c r="U411" s="400"/>
    </row>
    <row r="412" spans="2:21">
      <c r="B412" s="400"/>
      <c r="C412" s="400"/>
      <c r="D412" s="400"/>
      <c r="E412" s="400"/>
      <c r="F412" s="400"/>
      <c r="G412" s="400"/>
      <c r="H412" s="400"/>
      <c r="I412" s="400"/>
      <c r="J412" s="400"/>
      <c r="K412" s="400"/>
      <c r="L412" s="400"/>
      <c r="M412" s="400"/>
      <c r="N412" s="400"/>
      <c r="O412" s="400"/>
      <c r="P412" s="400"/>
      <c r="Q412" s="400"/>
      <c r="R412" s="400"/>
      <c r="S412" s="400"/>
      <c r="T412" s="400"/>
      <c r="U412" s="400"/>
    </row>
    <row r="413" spans="2:21">
      <c r="B413" s="400"/>
      <c r="C413" s="400"/>
      <c r="D413" s="400"/>
      <c r="E413" s="400"/>
      <c r="F413" s="400"/>
      <c r="G413" s="400"/>
      <c r="H413" s="400"/>
      <c r="I413" s="400"/>
      <c r="J413" s="400"/>
      <c r="K413" s="400"/>
      <c r="L413" s="400"/>
      <c r="M413" s="400"/>
      <c r="N413" s="400"/>
      <c r="O413" s="400"/>
      <c r="P413" s="400"/>
      <c r="Q413" s="400"/>
      <c r="R413" s="400"/>
      <c r="S413" s="400"/>
      <c r="T413" s="400"/>
      <c r="U413" s="400"/>
    </row>
    <row r="414" spans="2:21">
      <c r="B414" s="400"/>
      <c r="C414" s="400"/>
      <c r="D414" s="400"/>
      <c r="E414" s="400"/>
      <c r="F414" s="400"/>
      <c r="G414" s="400"/>
      <c r="H414" s="400"/>
      <c r="I414" s="400"/>
      <c r="J414" s="400"/>
      <c r="K414" s="400"/>
      <c r="L414" s="400"/>
      <c r="M414" s="400"/>
      <c r="N414" s="400"/>
      <c r="O414" s="400"/>
      <c r="P414" s="400"/>
      <c r="Q414" s="400"/>
      <c r="R414" s="400"/>
      <c r="S414" s="400"/>
      <c r="T414" s="400"/>
      <c r="U414" s="400"/>
    </row>
    <row r="415" spans="2:21" ht="15" customHeight="1">
      <c r="B415" s="399" t="s">
        <v>132</v>
      </c>
      <c r="C415" s="399"/>
      <c r="D415" s="399"/>
      <c r="E415" s="399"/>
      <c r="F415" s="399"/>
      <c r="G415" s="399"/>
      <c r="H415" s="399"/>
      <c r="I415" s="399"/>
      <c r="J415" s="399"/>
      <c r="K415" s="399"/>
      <c r="L415" s="399"/>
      <c r="M415" s="399"/>
      <c r="N415" s="399"/>
      <c r="O415" s="399"/>
      <c r="P415" s="399"/>
      <c r="Q415" s="399"/>
      <c r="R415" s="399"/>
      <c r="S415" s="399"/>
      <c r="T415" s="399"/>
    </row>
    <row r="416" spans="2:21">
      <c r="B416" s="399"/>
      <c r="C416" s="399"/>
      <c r="D416" s="399"/>
      <c r="E416" s="399"/>
      <c r="F416" s="399"/>
      <c r="G416" s="399"/>
      <c r="H416" s="399"/>
      <c r="I416" s="399"/>
      <c r="J416" s="399"/>
      <c r="K416" s="399"/>
      <c r="L416" s="399"/>
      <c r="M416" s="399"/>
      <c r="N416" s="399"/>
      <c r="O416" s="399"/>
      <c r="P416" s="399"/>
      <c r="Q416" s="399"/>
      <c r="R416" s="399"/>
      <c r="S416" s="399"/>
      <c r="T416" s="399"/>
    </row>
    <row r="417" spans="1:22">
      <c r="B417" s="399"/>
      <c r="C417" s="399"/>
      <c r="D417" s="399"/>
      <c r="E417" s="399"/>
      <c r="F417" s="399"/>
      <c r="G417" s="399"/>
      <c r="H417" s="399"/>
      <c r="I417" s="399"/>
      <c r="J417" s="399"/>
      <c r="K417" s="399"/>
      <c r="L417" s="399"/>
      <c r="M417" s="399"/>
      <c r="N417" s="399"/>
      <c r="O417" s="399"/>
      <c r="P417" s="399"/>
      <c r="Q417" s="399"/>
      <c r="R417" s="399"/>
      <c r="S417" s="399"/>
      <c r="T417" s="399"/>
    </row>
    <row r="418" spans="1:22">
      <c r="B418" s="399"/>
      <c r="C418" s="399"/>
      <c r="D418" s="399"/>
      <c r="E418" s="399"/>
      <c r="F418" s="399"/>
      <c r="G418" s="399"/>
      <c r="H418" s="399"/>
      <c r="I418" s="399"/>
      <c r="J418" s="399"/>
      <c r="K418" s="399"/>
      <c r="L418" s="399"/>
      <c r="M418" s="399"/>
      <c r="N418" s="399"/>
      <c r="O418" s="399"/>
      <c r="P418" s="399"/>
      <c r="Q418" s="399"/>
      <c r="R418" s="399"/>
      <c r="S418" s="399"/>
      <c r="T418" s="399"/>
    </row>
    <row r="419" spans="1:22">
      <c r="B419" s="399"/>
      <c r="C419" s="399"/>
      <c r="D419" s="399"/>
      <c r="E419" s="399"/>
      <c r="F419" s="399"/>
      <c r="G419" s="399"/>
      <c r="H419" s="399"/>
      <c r="I419" s="399"/>
      <c r="J419" s="399"/>
      <c r="K419" s="399"/>
      <c r="L419" s="399"/>
      <c r="M419" s="399"/>
      <c r="N419" s="399"/>
      <c r="O419" s="399"/>
      <c r="P419" s="399"/>
      <c r="Q419" s="399"/>
      <c r="R419" s="399"/>
      <c r="S419" s="399"/>
      <c r="T419" s="399"/>
    </row>
    <row r="420" spans="1:22">
      <c r="B420" s="399"/>
      <c r="C420" s="399"/>
      <c r="D420" s="399"/>
      <c r="E420" s="399"/>
      <c r="F420" s="399"/>
      <c r="G420" s="399"/>
      <c r="H420" s="399"/>
      <c r="I420" s="399"/>
      <c r="J420" s="399"/>
      <c r="K420" s="399"/>
      <c r="L420" s="399"/>
      <c r="M420" s="399"/>
      <c r="N420" s="399"/>
      <c r="O420" s="399"/>
      <c r="P420" s="399"/>
      <c r="Q420" s="399"/>
      <c r="R420" s="399"/>
      <c r="S420" s="399"/>
      <c r="T420" s="399"/>
    </row>
    <row r="422" spans="1:22" ht="15" customHeight="1">
      <c r="A422" s="396"/>
      <c r="B422" s="396"/>
      <c r="C422" s="396"/>
      <c r="D422" s="396"/>
      <c r="E422" s="396"/>
      <c r="F422" s="625" t="s">
        <v>0</v>
      </c>
      <c r="G422" s="626"/>
      <c r="H422" s="626"/>
      <c r="I422" s="626"/>
      <c r="J422" s="626"/>
      <c r="K422" s="626"/>
      <c r="L422" s="626"/>
      <c r="M422" s="626"/>
      <c r="N422" s="626"/>
      <c r="O422" s="626"/>
      <c r="P422" s="626"/>
      <c r="Q422" s="627"/>
      <c r="R422" s="396"/>
      <c r="S422" s="396"/>
      <c r="T422" s="396"/>
      <c r="U422" s="396"/>
      <c r="V422" s="396"/>
    </row>
    <row r="423" spans="1:22" ht="15" customHeight="1">
      <c r="A423" s="396"/>
      <c r="B423" s="396"/>
      <c r="C423" s="396"/>
      <c r="D423" s="396"/>
      <c r="E423" s="396"/>
      <c r="F423" s="628"/>
      <c r="G423" s="420"/>
      <c r="H423" s="420"/>
      <c r="I423" s="420"/>
      <c r="J423" s="420"/>
      <c r="K423" s="420"/>
      <c r="L423" s="420"/>
      <c r="M423" s="420"/>
      <c r="N423" s="420"/>
      <c r="O423" s="420"/>
      <c r="P423" s="420"/>
      <c r="Q423" s="629"/>
      <c r="R423" s="396"/>
      <c r="S423" s="396"/>
      <c r="T423" s="396"/>
      <c r="U423" s="396"/>
      <c r="V423" s="396"/>
    </row>
    <row r="424" spans="1:22" ht="15" customHeight="1">
      <c r="A424" s="396"/>
      <c r="B424" s="396"/>
      <c r="C424" s="396"/>
      <c r="D424" s="396"/>
      <c r="E424" s="396"/>
      <c r="F424" s="628"/>
      <c r="G424" s="420"/>
      <c r="H424" s="420"/>
      <c r="I424" s="420"/>
      <c r="J424" s="420"/>
      <c r="K424" s="420"/>
      <c r="L424" s="420"/>
      <c r="M424" s="420"/>
      <c r="N424" s="420"/>
      <c r="O424" s="420"/>
      <c r="P424" s="420"/>
      <c r="Q424" s="629"/>
      <c r="R424" s="396"/>
      <c r="S424" s="396"/>
      <c r="T424" s="396"/>
      <c r="U424" s="396"/>
      <c r="V424" s="396"/>
    </row>
    <row r="425" spans="1:22" ht="15" customHeight="1">
      <c r="A425" s="396"/>
      <c r="B425" s="396"/>
      <c r="C425" s="396"/>
      <c r="D425" s="396"/>
      <c r="E425" s="396"/>
      <c r="F425" s="630"/>
      <c r="G425" s="631"/>
      <c r="H425" s="631"/>
      <c r="I425" s="631"/>
      <c r="J425" s="631"/>
      <c r="K425" s="631"/>
      <c r="L425" s="631"/>
      <c r="M425" s="631"/>
      <c r="N425" s="631"/>
      <c r="O425" s="631"/>
      <c r="P425" s="631"/>
      <c r="Q425" s="632"/>
      <c r="R425" s="396"/>
      <c r="S425" s="396"/>
      <c r="T425" s="396"/>
      <c r="U425" s="396"/>
      <c r="V425" s="396"/>
    </row>
    <row r="426" spans="1:22" ht="15" customHeight="1">
      <c r="A426" s="396"/>
      <c r="B426" s="396"/>
      <c r="C426" s="396"/>
      <c r="D426" s="396"/>
      <c r="E426" s="396"/>
      <c r="F426" s="402" t="s">
        <v>209</v>
      </c>
      <c r="G426" s="402"/>
      <c r="H426" s="402"/>
      <c r="I426" s="402"/>
      <c r="J426" s="402"/>
      <c r="K426" s="402"/>
      <c r="L426" s="402"/>
      <c r="M426" s="402"/>
      <c r="N426" s="402"/>
      <c r="O426" s="402"/>
      <c r="P426" s="402"/>
      <c r="Q426" s="402"/>
      <c r="R426" s="396"/>
      <c r="S426" s="396"/>
      <c r="T426" s="396"/>
      <c r="U426" s="396"/>
      <c r="V426" s="396"/>
    </row>
    <row r="427" spans="1:22">
      <c r="A427" s="402" t="e">
        <f>A380</f>
        <v>#REF!</v>
      </c>
      <c r="B427" s="402"/>
      <c r="C427" s="402"/>
      <c r="D427" s="402"/>
      <c r="E427" s="402"/>
      <c r="F427" s="490" t="e">
        <f>F380</f>
        <v>#REF!</v>
      </c>
      <c r="G427" s="490"/>
      <c r="H427" s="490"/>
      <c r="I427" s="490"/>
      <c r="J427" s="490"/>
      <c r="K427" s="490"/>
      <c r="L427" s="490"/>
      <c r="M427" s="490"/>
      <c r="N427" s="490"/>
      <c r="O427" s="490"/>
      <c r="P427" s="490"/>
      <c r="Q427" s="490"/>
      <c r="R427" s="402" t="s">
        <v>194</v>
      </c>
      <c r="S427" s="402"/>
      <c r="T427" s="402"/>
      <c r="U427" s="402"/>
      <c r="V427" s="402"/>
    </row>
    <row r="428" spans="1:22">
      <c r="A428" s="402"/>
      <c r="B428" s="402"/>
      <c r="C428" s="402"/>
      <c r="D428" s="402"/>
      <c r="E428" s="402"/>
      <c r="F428" s="490"/>
      <c r="G428" s="490"/>
      <c r="H428" s="490"/>
      <c r="I428" s="490"/>
      <c r="J428" s="490"/>
      <c r="K428" s="490"/>
      <c r="L428" s="490"/>
      <c r="M428" s="490"/>
      <c r="N428" s="490"/>
      <c r="O428" s="490"/>
      <c r="P428" s="490"/>
      <c r="Q428" s="490"/>
      <c r="R428" s="402"/>
      <c r="S428" s="402"/>
      <c r="T428" s="402"/>
      <c r="U428" s="402"/>
      <c r="V428" s="402"/>
    </row>
    <row r="430" spans="1:22">
      <c r="B430" s="353"/>
      <c r="C430" s="353"/>
      <c r="D430" s="353"/>
      <c r="E430" s="353"/>
      <c r="F430" s="353"/>
      <c r="G430" s="353"/>
      <c r="H430" s="353"/>
      <c r="I430" s="353"/>
      <c r="J430" s="353"/>
    </row>
    <row r="431" spans="1:22">
      <c r="B431" s="353"/>
      <c r="C431" s="353"/>
      <c r="D431" s="353"/>
      <c r="E431" s="353"/>
      <c r="F431" s="353"/>
      <c r="G431" s="353"/>
      <c r="H431" s="353"/>
      <c r="I431" s="353"/>
      <c r="J431" s="353"/>
    </row>
    <row r="432" spans="1:22">
      <c r="B432" s="353"/>
      <c r="C432" s="353"/>
      <c r="D432" s="353"/>
      <c r="E432" s="353"/>
      <c r="F432" s="353"/>
      <c r="G432" s="353"/>
      <c r="H432" s="353"/>
      <c r="I432" s="353"/>
      <c r="J432" s="353"/>
    </row>
    <row r="433" spans="2:21">
      <c r="B433" s="353"/>
      <c r="C433" s="353"/>
      <c r="D433" s="353"/>
      <c r="E433" s="353"/>
      <c r="F433" s="353"/>
      <c r="G433" s="353"/>
      <c r="H433" s="353"/>
      <c r="I433" s="353"/>
      <c r="J433" s="353"/>
    </row>
    <row r="434" spans="2:21">
      <c r="B434" s="353"/>
      <c r="C434" s="353"/>
      <c r="D434" s="353"/>
      <c r="E434" s="353"/>
      <c r="F434" s="353"/>
      <c r="G434" s="353"/>
      <c r="H434" s="353"/>
      <c r="I434" s="353"/>
      <c r="J434" s="353"/>
    </row>
    <row r="435" spans="2:21">
      <c r="B435" s="353"/>
      <c r="C435" s="353"/>
      <c r="D435" s="353"/>
      <c r="E435" s="353"/>
      <c r="F435" s="353"/>
      <c r="G435" s="353"/>
      <c r="H435" s="353"/>
      <c r="I435" s="353"/>
      <c r="J435" s="353"/>
    </row>
    <row r="436" spans="2:21">
      <c r="B436" s="353"/>
      <c r="C436" s="353"/>
      <c r="D436" s="353"/>
      <c r="E436" s="353"/>
      <c r="F436" s="353"/>
      <c r="G436" s="353"/>
      <c r="H436" s="353"/>
      <c r="I436" s="353"/>
      <c r="J436" s="353"/>
    </row>
    <row r="437" spans="2:21">
      <c r="B437" s="353"/>
      <c r="C437" s="353"/>
      <c r="D437" s="353"/>
      <c r="E437" s="353"/>
      <c r="F437" s="353"/>
      <c r="G437" s="353"/>
      <c r="H437" s="353"/>
      <c r="I437" s="353"/>
      <c r="J437" s="353"/>
    </row>
    <row r="438" spans="2:21">
      <c r="B438" s="399" t="s">
        <v>133</v>
      </c>
      <c r="C438" s="399"/>
      <c r="D438" s="399"/>
      <c r="E438" s="399"/>
      <c r="F438" s="399"/>
      <c r="G438" s="399"/>
      <c r="H438" s="399"/>
      <c r="I438" s="399"/>
      <c r="J438" s="399"/>
      <c r="K438" s="399"/>
      <c r="L438" s="399"/>
      <c r="M438" s="399"/>
      <c r="N438" s="399"/>
      <c r="O438" s="399"/>
      <c r="P438" s="399"/>
      <c r="Q438" s="399"/>
      <c r="R438" s="399"/>
      <c r="S438" s="399"/>
      <c r="T438" s="399"/>
      <c r="U438" s="399"/>
    </row>
    <row r="439" spans="2:21">
      <c r="B439" s="399"/>
      <c r="C439" s="399"/>
      <c r="D439" s="399"/>
      <c r="E439" s="399"/>
      <c r="F439" s="399"/>
      <c r="G439" s="399"/>
      <c r="H439" s="399"/>
      <c r="I439" s="399"/>
      <c r="J439" s="399"/>
      <c r="K439" s="399"/>
      <c r="L439" s="399"/>
      <c r="M439" s="399"/>
      <c r="N439" s="399"/>
      <c r="O439" s="399"/>
      <c r="P439" s="399"/>
      <c r="Q439" s="399"/>
      <c r="R439" s="399"/>
      <c r="S439" s="399"/>
      <c r="T439" s="399"/>
      <c r="U439" s="399"/>
    </row>
    <row r="440" spans="2:21">
      <c r="B440" s="399"/>
      <c r="C440" s="399"/>
      <c r="D440" s="399"/>
      <c r="E440" s="399"/>
      <c r="F440" s="399"/>
      <c r="G440" s="399"/>
      <c r="H440" s="399"/>
      <c r="I440" s="399"/>
      <c r="J440" s="399"/>
      <c r="K440" s="399"/>
      <c r="L440" s="399"/>
      <c r="M440" s="399"/>
      <c r="N440" s="399"/>
      <c r="O440" s="399"/>
      <c r="P440" s="399"/>
      <c r="Q440" s="399"/>
      <c r="R440" s="399"/>
      <c r="S440" s="399"/>
      <c r="T440" s="399"/>
      <c r="U440" s="399"/>
    </row>
    <row r="441" spans="2:21">
      <c r="B441" s="494" t="s">
        <v>134</v>
      </c>
      <c r="C441" s="494"/>
      <c r="D441" s="494"/>
      <c r="E441" s="494"/>
      <c r="F441" s="494"/>
      <c r="G441" s="494"/>
      <c r="H441" s="494"/>
      <c r="I441" s="494"/>
      <c r="J441" s="494"/>
      <c r="K441" s="494"/>
      <c r="L441" s="494"/>
      <c r="M441" s="494"/>
      <c r="N441" s="494"/>
    </row>
    <row r="442" spans="2:21">
      <c r="B442" s="494"/>
      <c r="C442" s="494"/>
      <c r="D442" s="494"/>
      <c r="E442" s="494"/>
      <c r="F442" s="494"/>
      <c r="G442" s="494"/>
      <c r="H442" s="494"/>
      <c r="I442" s="494"/>
      <c r="J442" s="494"/>
      <c r="K442" s="494"/>
      <c r="L442" s="494"/>
      <c r="M442" s="494"/>
      <c r="N442" s="494"/>
    </row>
    <row r="443" spans="2:21">
      <c r="B443" s="494"/>
      <c r="C443" s="494"/>
      <c r="D443" s="494"/>
      <c r="E443" s="494"/>
      <c r="F443" s="494"/>
      <c r="G443" s="494"/>
      <c r="H443" s="494"/>
      <c r="I443" s="494"/>
      <c r="J443" s="494"/>
      <c r="K443" s="494"/>
      <c r="L443" s="494"/>
      <c r="M443" s="494"/>
      <c r="N443" s="494"/>
    </row>
    <row r="444" spans="2:21">
      <c r="B444" s="643" t="s">
        <v>135</v>
      </c>
      <c r="C444" s="643"/>
      <c r="D444" s="643"/>
      <c r="E444" s="643"/>
      <c r="F444" s="643"/>
      <c r="G444" s="643"/>
      <c r="H444" s="643"/>
      <c r="I444" s="643"/>
      <c r="J444" s="643"/>
      <c r="K444" s="643"/>
      <c r="L444" s="643"/>
      <c r="M444" s="643"/>
      <c r="N444" s="643"/>
      <c r="O444" s="643"/>
      <c r="P444" s="643"/>
      <c r="Q444" s="643"/>
      <c r="R444" s="643"/>
      <c r="S444" s="643"/>
      <c r="T444" s="643"/>
      <c r="U444" s="643"/>
    </row>
    <row r="445" spans="2:21">
      <c r="B445" s="643"/>
      <c r="C445" s="643"/>
      <c r="D445" s="643"/>
      <c r="E445" s="643"/>
      <c r="F445" s="643"/>
      <c r="G445" s="643"/>
      <c r="H445" s="643"/>
      <c r="I445" s="643"/>
      <c r="J445" s="643"/>
      <c r="K445" s="643"/>
      <c r="L445" s="643"/>
      <c r="M445" s="643"/>
      <c r="N445" s="643"/>
      <c r="O445" s="643"/>
      <c r="P445" s="643"/>
      <c r="Q445" s="643"/>
      <c r="R445" s="643"/>
      <c r="S445" s="643"/>
      <c r="T445" s="643"/>
      <c r="U445" s="643"/>
    </row>
    <row r="446" spans="2:21">
      <c r="B446" s="643"/>
      <c r="C446" s="643"/>
      <c r="D446" s="643"/>
      <c r="E446" s="643"/>
      <c r="F446" s="643"/>
      <c r="G446" s="643"/>
      <c r="H446" s="643"/>
      <c r="I446" s="643"/>
      <c r="J446" s="643"/>
      <c r="K446" s="643"/>
      <c r="L446" s="643"/>
      <c r="M446" s="643"/>
      <c r="N446" s="643"/>
      <c r="O446" s="643"/>
      <c r="P446" s="643"/>
      <c r="Q446" s="643"/>
      <c r="R446" s="643"/>
      <c r="S446" s="643"/>
      <c r="T446" s="643"/>
      <c r="U446" s="643"/>
    </row>
    <row r="447" spans="2:21">
      <c r="B447" s="643"/>
      <c r="C447" s="643"/>
      <c r="D447" s="643"/>
      <c r="E447" s="643"/>
      <c r="F447" s="643"/>
      <c r="G447" s="643"/>
      <c r="H447" s="643"/>
      <c r="I447" s="643"/>
      <c r="J447" s="643"/>
      <c r="K447" s="643"/>
      <c r="L447" s="643"/>
      <c r="M447" s="643"/>
      <c r="N447" s="643"/>
      <c r="O447" s="643"/>
      <c r="P447" s="643"/>
      <c r="Q447" s="643"/>
      <c r="R447" s="643"/>
      <c r="S447" s="643"/>
      <c r="T447" s="643"/>
      <c r="U447" s="643"/>
    </row>
    <row r="448" spans="2:21">
      <c r="B448" s="433" t="s">
        <v>136</v>
      </c>
      <c r="C448" s="433"/>
      <c r="D448" s="433"/>
      <c r="E448" s="433"/>
      <c r="F448" s="433"/>
      <c r="G448" s="433"/>
      <c r="H448" s="433"/>
      <c r="I448" s="433"/>
      <c r="J448" s="433"/>
      <c r="K448" s="433"/>
      <c r="L448" s="433"/>
      <c r="M448" s="433"/>
      <c r="N448" s="433"/>
      <c r="O448" s="433"/>
    </row>
    <row r="449" spans="2:21">
      <c r="B449" s="433"/>
      <c r="C449" s="433"/>
      <c r="D449" s="433"/>
      <c r="E449" s="433"/>
      <c r="F449" s="433"/>
      <c r="G449" s="433"/>
      <c r="H449" s="433"/>
      <c r="I449" s="433"/>
      <c r="J449" s="433"/>
      <c r="K449" s="433"/>
      <c r="L449" s="433"/>
      <c r="M449" s="433"/>
      <c r="N449" s="433"/>
      <c r="O449" s="433"/>
    </row>
    <row r="450" spans="2:21">
      <c r="B450" s="433"/>
      <c r="C450" s="433"/>
      <c r="D450" s="433"/>
      <c r="E450" s="433"/>
      <c r="F450" s="433"/>
      <c r="G450" s="433"/>
      <c r="H450" s="433"/>
      <c r="I450" s="433"/>
      <c r="J450" s="433"/>
      <c r="K450" s="433"/>
      <c r="L450" s="433"/>
      <c r="M450" s="433"/>
      <c r="N450" s="433"/>
      <c r="O450" s="433"/>
    </row>
    <row r="451" spans="2:21">
      <c r="B451" s="399" t="s">
        <v>137</v>
      </c>
      <c r="C451" s="400"/>
      <c r="D451" s="400"/>
      <c r="E451" s="400"/>
      <c r="F451" s="400"/>
      <c r="G451" s="400"/>
      <c r="H451" s="400"/>
      <c r="I451" s="400"/>
      <c r="J451" s="400"/>
      <c r="K451" s="400"/>
      <c r="L451" s="400"/>
      <c r="M451" s="400"/>
      <c r="N451" s="400"/>
      <c r="O451" s="400"/>
      <c r="P451" s="400"/>
      <c r="Q451" s="400"/>
      <c r="R451" s="400"/>
      <c r="S451" s="400"/>
      <c r="T451" s="400"/>
      <c r="U451" s="400"/>
    </row>
    <row r="452" spans="2:21">
      <c r="B452" s="400"/>
      <c r="C452" s="400"/>
      <c r="D452" s="400"/>
      <c r="E452" s="400"/>
      <c r="F452" s="400"/>
      <c r="G452" s="400"/>
      <c r="H452" s="400"/>
      <c r="I452" s="400"/>
      <c r="J452" s="400"/>
      <c r="K452" s="400"/>
      <c r="L452" s="400"/>
      <c r="M452" s="400"/>
      <c r="N452" s="400"/>
      <c r="O452" s="400"/>
      <c r="P452" s="400"/>
      <c r="Q452" s="400"/>
      <c r="R452" s="400"/>
      <c r="S452" s="400"/>
      <c r="T452" s="400"/>
      <c r="U452" s="400"/>
    </row>
    <row r="453" spans="2:21">
      <c r="B453" s="400"/>
      <c r="C453" s="400"/>
      <c r="D453" s="400"/>
      <c r="E453" s="400"/>
      <c r="F453" s="400"/>
      <c r="G453" s="400"/>
      <c r="H453" s="400"/>
      <c r="I453" s="400"/>
      <c r="J453" s="400"/>
      <c r="K453" s="400"/>
      <c r="L453" s="400"/>
      <c r="M453" s="400"/>
      <c r="N453" s="400"/>
      <c r="O453" s="400"/>
      <c r="P453" s="400"/>
      <c r="Q453" s="400"/>
      <c r="R453" s="400"/>
      <c r="S453" s="400"/>
      <c r="T453" s="400"/>
      <c r="U453" s="400"/>
    </row>
    <row r="454" spans="2:21">
      <c r="B454" s="400"/>
      <c r="C454" s="400"/>
      <c r="D454" s="400"/>
      <c r="E454" s="400"/>
      <c r="F454" s="400"/>
      <c r="G454" s="400"/>
      <c r="H454" s="400"/>
      <c r="I454" s="400"/>
      <c r="J454" s="400"/>
      <c r="K454" s="400"/>
      <c r="L454" s="400"/>
      <c r="M454" s="400"/>
      <c r="N454" s="400"/>
      <c r="O454" s="400"/>
      <c r="P454" s="400"/>
      <c r="Q454" s="400"/>
      <c r="R454" s="400"/>
      <c r="S454" s="400"/>
      <c r="T454" s="400"/>
      <c r="U454" s="400"/>
    </row>
    <row r="455" spans="2:21">
      <c r="B455" s="400"/>
      <c r="C455" s="400"/>
      <c r="D455" s="400"/>
      <c r="E455" s="400"/>
      <c r="F455" s="400"/>
      <c r="G455" s="400"/>
      <c r="H455" s="400"/>
      <c r="I455" s="400"/>
      <c r="J455" s="400"/>
      <c r="K455" s="400"/>
      <c r="L455" s="400"/>
      <c r="M455" s="400"/>
      <c r="N455" s="400"/>
      <c r="O455" s="400"/>
      <c r="P455" s="400"/>
      <c r="Q455" s="400"/>
      <c r="R455" s="400"/>
      <c r="S455" s="400"/>
      <c r="T455" s="400"/>
      <c r="U455" s="400"/>
    </row>
    <row r="456" spans="2:21">
      <c r="B456" s="400"/>
      <c r="C456" s="400"/>
      <c r="D456" s="400"/>
      <c r="E456" s="400"/>
      <c r="F456" s="400"/>
      <c r="G456" s="400"/>
      <c r="H456" s="400"/>
      <c r="I456" s="400"/>
      <c r="J456" s="400"/>
      <c r="K456" s="400"/>
      <c r="L456" s="400"/>
      <c r="M456" s="400"/>
      <c r="N456" s="400"/>
      <c r="O456" s="400"/>
      <c r="P456" s="400"/>
      <c r="Q456" s="400"/>
      <c r="R456" s="400"/>
      <c r="S456" s="400"/>
      <c r="T456" s="400"/>
      <c r="U456" s="400"/>
    </row>
    <row r="457" spans="2:21">
      <c r="B457" s="400"/>
      <c r="C457" s="400"/>
      <c r="D457" s="400"/>
      <c r="E457" s="400"/>
      <c r="F457" s="400"/>
      <c r="G457" s="400"/>
      <c r="H457" s="400"/>
      <c r="I457" s="400"/>
      <c r="J457" s="400"/>
      <c r="K457" s="400"/>
      <c r="L457" s="400"/>
      <c r="M457" s="400"/>
      <c r="N457" s="400"/>
      <c r="O457" s="400"/>
      <c r="P457" s="400"/>
      <c r="Q457" s="400"/>
      <c r="R457" s="400"/>
      <c r="S457" s="400"/>
      <c r="T457" s="400"/>
      <c r="U457" s="400"/>
    </row>
    <row r="458" spans="2:21">
      <c r="B458" s="400"/>
      <c r="C458" s="400"/>
      <c r="D458" s="400"/>
      <c r="E458" s="400"/>
      <c r="F458" s="400"/>
      <c r="G458" s="400"/>
      <c r="H458" s="400"/>
      <c r="I458" s="400"/>
      <c r="J458" s="400"/>
      <c r="K458" s="400"/>
      <c r="L458" s="400"/>
      <c r="M458" s="400"/>
      <c r="N458" s="400"/>
      <c r="O458" s="400"/>
      <c r="P458" s="400"/>
      <c r="Q458" s="400"/>
      <c r="R458" s="400"/>
      <c r="S458" s="400"/>
      <c r="T458" s="400"/>
      <c r="U458" s="400"/>
    </row>
    <row r="459" spans="2:21">
      <c r="B459" s="399" t="s">
        <v>138</v>
      </c>
      <c r="C459" s="400"/>
      <c r="D459" s="400"/>
      <c r="E459" s="400"/>
      <c r="F459" s="400"/>
      <c r="G459" s="400"/>
      <c r="H459" s="400"/>
      <c r="I459" s="400"/>
      <c r="J459" s="400"/>
      <c r="K459" s="400"/>
      <c r="L459" s="400"/>
      <c r="M459" s="400"/>
    </row>
    <row r="460" spans="2:21">
      <c r="B460" s="400"/>
      <c r="C460" s="400"/>
      <c r="D460" s="400"/>
      <c r="E460" s="400"/>
      <c r="F460" s="400"/>
      <c r="G460" s="400"/>
      <c r="H460" s="400"/>
      <c r="I460" s="400"/>
      <c r="J460" s="400"/>
      <c r="K460" s="400"/>
      <c r="L460" s="400"/>
      <c r="M460" s="400"/>
    </row>
    <row r="461" spans="2:21">
      <c r="B461" s="400"/>
      <c r="C461" s="400"/>
      <c r="D461" s="400"/>
      <c r="E461" s="400"/>
      <c r="F461" s="400"/>
      <c r="G461" s="400"/>
      <c r="H461" s="400"/>
      <c r="I461" s="400"/>
      <c r="J461" s="400"/>
      <c r="K461" s="400"/>
      <c r="L461" s="400"/>
      <c r="M461" s="400"/>
    </row>
    <row r="462" spans="2:21">
      <c r="B462" s="353"/>
      <c r="C462" s="353"/>
      <c r="D462" s="353"/>
      <c r="E462" s="353"/>
      <c r="F462" s="353"/>
      <c r="G462" s="353"/>
      <c r="H462" s="353"/>
      <c r="J462" s="399" t="s">
        <v>139</v>
      </c>
      <c r="K462" s="400"/>
      <c r="L462" s="400"/>
      <c r="M462" s="400"/>
      <c r="N462" s="400"/>
      <c r="O462" s="400"/>
      <c r="P462" s="400"/>
      <c r="Q462" s="400"/>
      <c r="R462" s="400"/>
      <c r="S462" s="400"/>
      <c r="T462" s="400"/>
      <c r="U462" s="400"/>
    </row>
    <row r="463" spans="2:21">
      <c r="B463" s="353"/>
      <c r="C463" s="353"/>
      <c r="D463" s="353"/>
      <c r="E463" s="353"/>
      <c r="F463" s="353"/>
      <c r="G463" s="353"/>
      <c r="H463" s="353"/>
      <c r="J463" s="400"/>
      <c r="K463" s="400"/>
      <c r="L463" s="400"/>
      <c r="M463" s="400"/>
      <c r="N463" s="400"/>
      <c r="O463" s="400"/>
      <c r="P463" s="400"/>
      <c r="Q463" s="400"/>
      <c r="R463" s="400"/>
      <c r="S463" s="400"/>
      <c r="T463" s="400"/>
      <c r="U463" s="400"/>
    </row>
    <row r="464" spans="2:21">
      <c r="B464" s="353"/>
      <c r="C464" s="353"/>
      <c r="D464" s="353"/>
      <c r="E464" s="353"/>
      <c r="F464" s="353"/>
      <c r="G464" s="353"/>
      <c r="H464" s="353"/>
      <c r="I464" s="644" t="s">
        <v>93</v>
      </c>
      <c r="J464" s="400"/>
      <c r="K464" s="400"/>
      <c r="L464" s="400"/>
      <c r="M464" s="400"/>
      <c r="N464" s="400"/>
      <c r="O464" s="400"/>
      <c r="P464" s="400"/>
      <c r="Q464" s="400"/>
      <c r="R464" s="400"/>
      <c r="S464" s="400"/>
      <c r="T464" s="400"/>
      <c r="U464" s="400"/>
    </row>
    <row r="465" spans="1:22">
      <c r="B465" s="353"/>
      <c r="C465" s="353"/>
      <c r="D465" s="353"/>
      <c r="E465" s="353"/>
      <c r="F465" s="353"/>
      <c r="G465" s="353"/>
      <c r="H465" s="353"/>
      <c r="I465" s="401"/>
      <c r="J465" s="400"/>
      <c r="K465" s="400"/>
      <c r="L465" s="400"/>
      <c r="M465" s="400"/>
      <c r="N465" s="400"/>
      <c r="O465" s="400"/>
      <c r="P465" s="400"/>
      <c r="Q465" s="400"/>
      <c r="R465" s="400"/>
      <c r="S465" s="400"/>
      <c r="T465" s="400"/>
      <c r="U465" s="400"/>
    </row>
    <row r="466" spans="1:22">
      <c r="B466" s="353"/>
      <c r="C466" s="353"/>
      <c r="D466" s="353"/>
      <c r="E466" s="353"/>
      <c r="F466" s="353"/>
      <c r="G466" s="353"/>
      <c r="H466" s="353"/>
      <c r="I466" s="401"/>
      <c r="J466" s="400"/>
      <c r="K466" s="400"/>
      <c r="L466" s="400"/>
      <c r="M466" s="400"/>
      <c r="N466" s="400"/>
      <c r="O466" s="400"/>
      <c r="P466" s="400"/>
      <c r="Q466" s="400"/>
      <c r="R466" s="400"/>
      <c r="S466" s="400"/>
      <c r="T466" s="400"/>
      <c r="U466" s="400"/>
    </row>
    <row r="467" spans="1:22">
      <c r="B467" s="353"/>
      <c r="C467" s="353"/>
      <c r="D467" s="353"/>
      <c r="E467" s="353"/>
      <c r="F467" s="353"/>
      <c r="G467" s="353"/>
      <c r="H467" s="353"/>
      <c r="J467" s="400"/>
      <c r="K467" s="400"/>
      <c r="L467" s="400"/>
      <c r="M467" s="400"/>
      <c r="N467" s="400"/>
      <c r="O467" s="400"/>
      <c r="P467" s="400"/>
      <c r="Q467" s="400"/>
      <c r="R467" s="400"/>
      <c r="S467" s="400"/>
      <c r="T467" s="400"/>
      <c r="U467" s="400"/>
    </row>
    <row r="468" spans="1:22">
      <c r="B468" s="353"/>
      <c r="C468" s="353"/>
      <c r="D468" s="353"/>
      <c r="E468" s="353"/>
      <c r="F468" s="353"/>
      <c r="G468" s="353"/>
      <c r="H468" s="353"/>
      <c r="J468" s="400"/>
      <c r="K468" s="400"/>
      <c r="L468" s="400"/>
      <c r="M468" s="400"/>
      <c r="N468" s="400"/>
      <c r="O468" s="400"/>
      <c r="P468" s="400"/>
      <c r="Q468" s="400"/>
      <c r="R468" s="400"/>
      <c r="S468" s="400"/>
      <c r="T468" s="400"/>
      <c r="U468" s="400"/>
    </row>
    <row r="469" spans="1:22" ht="15" customHeight="1">
      <c r="A469" s="396"/>
      <c r="B469" s="396"/>
      <c r="C469" s="396"/>
      <c r="D469" s="396"/>
      <c r="E469" s="396"/>
      <c r="F469" s="394" t="s">
        <v>0</v>
      </c>
      <c r="G469" s="394"/>
      <c r="H469" s="394"/>
      <c r="I469" s="394"/>
      <c r="J469" s="394"/>
      <c r="K469" s="394"/>
      <c r="L469" s="394"/>
      <c r="M469" s="394"/>
      <c r="N469" s="394"/>
      <c r="O469" s="394"/>
      <c r="P469" s="394"/>
      <c r="Q469" s="394"/>
      <c r="R469" s="396"/>
      <c r="S469" s="396"/>
      <c r="T469" s="396"/>
      <c r="U469" s="396"/>
      <c r="V469" s="396"/>
    </row>
    <row r="470" spans="1:22" ht="15" customHeight="1">
      <c r="A470" s="396"/>
      <c r="B470" s="396"/>
      <c r="C470" s="396"/>
      <c r="D470" s="396"/>
      <c r="E470" s="396"/>
      <c r="F470" s="394"/>
      <c r="G470" s="394"/>
      <c r="H470" s="394"/>
      <c r="I470" s="394"/>
      <c r="J470" s="394"/>
      <c r="K470" s="394"/>
      <c r="L470" s="394"/>
      <c r="M470" s="394"/>
      <c r="N470" s="394"/>
      <c r="O470" s="394"/>
      <c r="P470" s="394"/>
      <c r="Q470" s="394"/>
      <c r="R470" s="396"/>
      <c r="S470" s="396"/>
      <c r="T470" s="396"/>
      <c r="U470" s="396"/>
      <c r="V470" s="396"/>
    </row>
    <row r="471" spans="1:22" ht="15" customHeight="1">
      <c r="A471" s="396"/>
      <c r="B471" s="396"/>
      <c r="C471" s="396"/>
      <c r="D471" s="396"/>
      <c r="E471" s="396"/>
      <c r="F471" s="394"/>
      <c r="G471" s="394"/>
      <c r="H471" s="394"/>
      <c r="I471" s="394"/>
      <c r="J471" s="394"/>
      <c r="K471" s="394"/>
      <c r="L471" s="394"/>
      <c r="M471" s="394"/>
      <c r="N471" s="394"/>
      <c r="O471" s="394"/>
      <c r="P471" s="394"/>
      <c r="Q471" s="394"/>
      <c r="R471" s="396"/>
      <c r="S471" s="396"/>
      <c r="T471" s="396"/>
      <c r="U471" s="396"/>
      <c r="V471" s="396"/>
    </row>
    <row r="472" spans="1:22" ht="15" customHeight="1">
      <c r="A472" s="396"/>
      <c r="B472" s="396"/>
      <c r="C472" s="396"/>
      <c r="D472" s="396"/>
      <c r="E472" s="396"/>
      <c r="F472" s="394"/>
      <c r="G472" s="394"/>
      <c r="H472" s="394"/>
      <c r="I472" s="394"/>
      <c r="J472" s="394"/>
      <c r="K472" s="394"/>
      <c r="L472" s="394"/>
      <c r="M472" s="394"/>
      <c r="N472" s="394"/>
      <c r="O472" s="394"/>
      <c r="P472" s="394"/>
      <c r="Q472" s="394"/>
      <c r="R472" s="396"/>
      <c r="S472" s="396"/>
      <c r="T472" s="396"/>
      <c r="U472" s="396"/>
      <c r="V472" s="396"/>
    </row>
    <row r="473" spans="1:22" ht="15" customHeight="1">
      <c r="A473" s="396"/>
      <c r="B473" s="396"/>
      <c r="C473" s="396"/>
      <c r="D473" s="396"/>
      <c r="E473" s="396"/>
      <c r="F473" s="402" t="s">
        <v>209</v>
      </c>
      <c r="G473" s="402"/>
      <c r="H473" s="402"/>
      <c r="I473" s="402"/>
      <c r="J473" s="402"/>
      <c r="K473" s="402"/>
      <c r="L473" s="402"/>
      <c r="M473" s="402"/>
      <c r="N473" s="402"/>
      <c r="O473" s="402"/>
      <c r="P473" s="402"/>
      <c r="Q473" s="402"/>
      <c r="R473" s="396"/>
      <c r="S473" s="396"/>
      <c r="T473" s="396"/>
      <c r="U473" s="396"/>
      <c r="V473" s="396"/>
    </row>
    <row r="474" spans="1:22">
      <c r="A474" s="402" t="e">
        <f>A380</f>
        <v>#REF!</v>
      </c>
      <c r="B474" s="402"/>
      <c r="C474" s="402"/>
      <c r="D474" s="402"/>
      <c r="E474" s="402"/>
      <c r="F474" s="490" t="e">
        <f>F427</f>
        <v>#REF!</v>
      </c>
      <c r="G474" s="490"/>
      <c r="H474" s="490"/>
      <c r="I474" s="490"/>
      <c r="J474" s="490"/>
      <c r="K474" s="490"/>
      <c r="L474" s="490"/>
      <c r="M474" s="490"/>
      <c r="N474" s="490"/>
      <c r="O474" s="490"/>
      <c r="P474" s="490"/>
      <c r="Q474" s="490"/>
      <c r="R474" s="402" t="s">
        <v>193</v>
      </c>
      <c r="S474" s="402"/>
      <c r="T474" s="402"/>
      <c r="U474" s="402"/>
      <c r="V474" s="402"/>
    </row>
    <row r="475" spans="1:22">
      <c r="A475" s="402"/>
      <c r="B475" s="402"/>
      <c r="C475" s="402"/>
      <c r="D475" s="402"/>
      <c r="E475" s="402"/>
      <c r="F475" s="490"/>
      <c r="G475" s="490"/>
      <c r="H475" s="490"/>
      <c r="I475" s="490"/>
      <c r="J475" s="490"/>
      <c r="K475" s="490"/>
      <c r="L475" s="490"/>
      <c r="M475" s="490"/>
      <c r="N475" s="490"/>
      <c r="O475" s="490"/>
      <c r="P475" s="490"/>
      <c r="Q475" s="490"/>
      <c r="R475" s="402"/>
      <c r="S475" s="402"/>
      <c r="T475" s="402"/>
      <c r="U475" s="402"/>
      <c r="V475" s="402"/>
    </row>
    <row r="477" spans="1:22">
      <c r="C477" s="353"/>
      <c r="D477" s="353"/>
      <c r="E477" s="353"/>
      <c r="F477" s="353"/>
      <c r="G477" s="353"/>
      <c r="H477" s="353"/>
      <c r="I477" s="353"/>
      <c r="J477" s="353"/>
      <c r="K477" s="353"/>
      <c r="L477" s="399" t="s">
        <v>140</v>
      </c>
      <c r="M477" s="400"/>
      <c r="N477" s="400"/>
      <c r="O477" s="400"/>
      <c r="P477" s="400"/>
      <c r="Q477" s="400"/>
      <c r="R477" s="400"/>
      <c r="S477" s="400"/>
      <c r="T477" s="400"/>
      <c r="U477" s="400"/>
    </row>
    <row r="478" spans="1:22">
      <c r="C478" s="353"/>
      <c r="D478" s="353"/>
      <c r="E478" s="353"/>
      <c r="F478" s="353"/>
      <c r="G478" s="353"/>
      <c r="H478" s="353"/>
      <c r="I478" s="353"/>
      <c r="J478" s="353"/>
      <c r="K478" s="353"/>
      <c r="L478" s="400"/>
      <c r="M478" s="400"/>
      <c r="N478" s="400"/>
      <c r="O478" s="400"/>
      <c r="P478" s="400"/>
      <c r="Q478" s="400"/>
      <c r="R478" s="400"/>
      <c r="S478" s="400"/>
      <c r="T478" s="400"/>
      <c r="U478" s="400"/>
    </row>
    <row r="479" spans="1:22">
      <c r="C479" s="353"/>
      <c r="D479" s="353"/>
      <c r="E479" s="353"/>
      <c r="F479" s="353"/>
      <c r="G479" s="353"/>
      <c r="H479" s="353"/>
      <c r="I479" s="353"/>
      <c r="J479" s="353"/>
      <c r="K479" s="353"/>
      <c r="L479" s="400"/>
      <c r="M479" s="400"/>
      <c r="N479" s="400"/>
      <c r="O479" s="400"/>
      <c r="P479" s="400"/>
      <c r="Q479" s="400"/>
      <c r="R479" s="400"/>
      <c r="S479" s="400"/>
      <c r="T479" s="400"/>
      <c r="U479" s="400"/>
    </row>
    <row r="480" spans="1:22">
      <c r="C480" s="353"/>
      <c r="D480" s="353"/>
      <c r="E480" s="353"/>
      <c r="F480" s="353"/>
      <c r="G480" s="353"/>
      <c r="H480" s="353"/>
      <c r="I480" s="353"/>
      <c r="J480" s="353"/>
      <c r="K480" s="353"/>
      <c r="L480" s="400"/>
      <c r="M480" s="400"/>
      <c r="N480" s="400"/>
      <c r="O480" s="400"/>
      <c r="P480" s="400"/>
      <c r="Q480" s="400"/>
      <c r="R480" s="400"/>
      <c r="S480" s="400"/>
      <c r="T480" s="400"/>
      <c r="U480" s="400"/>
    </row>
    <row r="481" spans="3:21">
      <c r="C481" s="353"/>
      <c r="D481" s="353"/>
      <c r="E481" s="353"/>
      <c r="F481" s="353"/>
      <c r="G481" s="353"/>
      <c r="H481" s="353"/>
      <c r="I481" s="353"/>
      <c r="J481" s="353"/>
      <c r="K481" s="353"/>
      <c r="L481" s="400"/>
      <c r="M481" s="400"/>
      <c r="N481" s="400"/>
      <c r="O481" s="400"/>
      <c r="P481" s="400"/>
      <c r="Q481" s="400"/>
      <c r="R481" s="400"/>
      <c r="S481" s="400"/>
      <c r="T481" s="400"/>
      <c r="U481" s="400"/>
    </row>
    <row r="482" spans="3:21">
      <c r="C482" s="353"/>
      <c r="D482" s="353"/>
      <c r="E482" s="353"/>
      <c r="F482" s="353"/>
      <c r="G482" s="353"/>
      <c r="H482" s="353"/>
      <c r="I482" s="353"/>
      <c r="J482" s="353"/>
      <c r="K482" s="353"/>
      <c r="L482" s="400"/>
      <c r="M482" s="400"/>
      <c r="N482" s="400"/>
      <c r="O482" s="400"/>
      <c r="P482" s="400"/>
      <c r="Q482" s="400"/>
      <c r="R482" s="400"/>
      <c r="S482" s="400"/>
      <c r="T482" s="400"/>
      <c r="U482" s="400"/>
    </row>
    <row r="483" spans="3:21">
      <c r="C483" s="353"/>
      <c r="D483" s="353"/>
      <c r="E483" s="353"/>
      <c r="F483" s="353"/>
      <c r="G483" s="353"/>
      <c r="H483" s="353"/>
      <c r="I483" s="353"/>
      <c r="J483" s="353"/>
      <c r="K483" s="353"/>
      <c r="L483" s="400"/>
      <c r="M483" s="400"/>
      <c r="N483" s="400"/>
      <c r="O483" s="400"/>
      <c r="P483" s="400"/>
      <c r="Q483" s="400"/>
      <c r="R483" s="400"/>
      <c r="S483" s="400"/>
      <c r="T483" s="400"/>
      <c r="U483" s="400"/>
    </row>
    <row r="484" spans="3:21">
      <c r="C484" s="353"/>
      <c r="D484" s="353"/>
      <c r="E484" s="353"/>
      <c r="F484" s="353"/>
      <c r="G484" s="353"/>
      <c r="H484" s="353"/>
      <c r="I484" s="353"/>
      <c r="J484" s="353"/>
      <c r="K484" s="353"/>
    </row>
    <row r="485" spans="3:21">
      <c r="C485" s="353"/>
      <c r="D485" s="353"/>
      <c r="E485" s="353"/>
      <c r="F485" s="353"/>
      <c r="G485" s="353"/>
      <c r="H485" s="353"/>
      <c r="I485" s="353"/>
      <c r="J485" s="353"/>
      <c r="K485" s="353"/>
    </row>
    <row r="486" spans="3:21">
      <c r="C486" s="353"/>
      <c r="D486" s="353"/>
      <c r="E486" s="353"/>
      <c r="F486" s="353"/>
      <c r="G486" s="353"/>
      <c r="H486" s="353"/>
      <c r="I486" s="353"/>
      <c r="J486" s="353"/>
      <c r="K486" s="353"/>
    </row>
    <row r="487" spans="3:21">
      <c r="C487" s="353"/>
      <c r="D487" s="353"/>
      <c r="E487" s="353"/>
      <c r="F487" s="353"/>
      <c r="G487" s="353"/>
      <c r="H487" s="353"/>
      <c r="I487" s="353"/>
      <c r="J487" s="353"/>
      <c r="K487" s="353"/>
    </row>
    <row r="488" spans="3:21">
      <c r="C488" s="353"/>
      <c r="D488" s="353"/>
      <c r="E488" s="353"/>
      <c r="F488" s="353"/>
      <c r="G488" s="353"/>
      <c r="H488" s="353"/>
      <c r="I488" s="353"/>
      <c r="J488" s="353"/>
      <c r="K488" s="353"/>
    </row>
    <row r="489" spans="3:21">
      <c r="C489" s="353"/>
      <c r="D489" s="353"/>
      <c r="E489" s="353"/>
      <c r="F489" s="353"/>
      <c r="G489" s="353"/>
      <c r="H489" s="353"/>
      <c r="I489" s="353"/>
      <c r="J489" s="353"/>
      <c r="K489" s="353"/>
    </row>
  </sheetData>
  <mergeCells count="357">
    <mergeCell ref="H119:I120"/>
    <mergeCell ref="H121:I122"/>
    <mergeCell ref="A100:E101"/>
    <mergeCell ref="R100:V101"/>
    <mergeCell ref="B103:M109"/>
    <mergeCell ref="B111:C112"/>
    <mergeCell ref="D111:E112"/>
    <mergeCell ref="F111:G112"/>
    <mergeCell ref="H111:I112"/>
    <mergeCell ref="B119:C120"/>
    <mergeCell ref="N117:O118"/>
    <mergeCell ref="H113:I114"/>
    <mergeCell ref="H115:I116"/>
    <mergeCell ref="H117:I118"/>
    <mergeCell ref="S119:U120"/>
    <mergeCell ref="S121:U122"/>
    <mergeCell ref="P113:R114"/>
    <mergeCell ref="P115:R116"/>
    <mergeCell ref="P117:R118"/>
    <mergeCell ref="P119:R120"/>
    <mergeCell ref="P121:R122"/>
    <mergeCell ref="B71:O76"/>
    <mergeCell ref="P71:Q76"/>
    <mergeCell ref="R71:S72"/>
    <mergeCell ref="R73:S74"/>
    <mergeCell ref="T71:U72"/>
    <mergeCell ref="T73:U74"/>
    <mergeCell ref="R75:S76"/>
    <mergeCell ref="T75:U76"/>
    <mergeCell ref="F95:Q98"/>
    <mergeCell ref="L125:M126"/>
    <mergeCell ref="N125:O126"/>
    <mergeCell ref="P125:R126"/>
    <mergeCell ref="S125:U126"/>
    <mergeCell ref="B123:C124"/>
    <mergeCell ref="D123:E124"/>
    <mergeCell ref="F123:G124"/>
    <mergeCell ref="H123:I124"/>
    <mergeCell ref="J123:K124"/>
    <mergeCell ref="L123:M124"/>
    <mergeCell ref="N123:O124"/>
    <mergeCell ref="P123:R124"/>
    <mergeCell ref="S123:U124"/>
    <mergeCell ref="E58:F59"/>
    <mergeCell ref="G58:J59"/>
    <mergeCell ref="B58:D59"/>
    <mergeCell ref="B60:J61"/>
    <mergeCell ref="K60:L61"/>
    <mergeCell ref="M60:P61"/>
    <mergeCell ref="Q60:Q61"/>
    <mergeCell ref="R60:T61"/>
    <mergeCell ref="B62:D63"/>
    <mergeCell ref="E62:F63"/>
    <mergeCell ref="G62:I63"/>
    <mergeCell ref="J62:J63"/>
    <mergeCell ref="K62:V63"/>
    <mergeCell ref="A48:E52"/>
    <mergeCell ref="R48:V52"/>
    <mergeCell ref="A53:E54"/>
    <mergeCell ref="R53:V54"/>
    <mergeCell ref="F48:Q51"/>
    <mergeCell ref="F52:Q52"/>
    <mergeCell ref="F53:Q54"/>
    <mergeCell ref="B56:C57"/>
    <mergeCell ref="D56:J57"/>
    <mergeCell ref="A1:E5"/>
    <mergeCell ref="R1:V5"/>
    <mergeCell ref="A6:E7"/>
    <mergeCell ref="R6:V7"/>
    <mergeCell ref="F1:Q4"/>
    <mergeCell ref="F5:Q5"/>
    <mergeCell ref="F6:Q7"/>
    <mergeCell ref="B29:J32"/>
    <mergeCell ref="B33:U46"/>
    <mergeCell ref="B9:J10"/>
    <mergeCell ref="B11:U13"/>
    <mergeCell ref="B14:U24"/>
    <mergeCell ref="B25:J28"/>
    <mergeCell ref="B64:C66"/>
    <mergeCell ref="D64:G64"/>
    <mergeCell ref="H64:I64"/>
    <mergeCell ref="D65:F65"/>
    <mergeCell ref="H65:I65"/>
    <mergeCell ref="D66:F66"/>
    <mergeCell ref="H66:I66"/>
    <mergeCell ref="J64:J66"/>
    <mergeCell ref="K64:R66"/>
    <mergeCell ref="B67:V68"/>
    <mergeCell ref="F99:Q99"/>
    <mergeCell ref="F100:Q101"/>
    <mergeCell ref="A95:E99"/>
    <mergeCell ref="R95:V99"/>
    <mergeCell ref="B69:J70"/>
    <mergeCell ref="L113:M114"/>
    <mergeCell ref="L115:M116"/>
    <mergeCell ref="L117:M118"/>
    <mergeCell ref="J111:K112"/>
    <mergeCell ref="L111:M112"/>
    <mergeCell ref="N111:O112"/>
    <mergeCell ref="P111:R112"/>
    <mergeCell ref="S111:U112"/>
    <mergeCell ref="B113:C114"/>
    <mergeCell ref="B115:C116"/>
    <mergeCell ref="B117:C118"/>
    <mergeCell ref="S113:U114"/>
    <mergeCell ref="S115:U116"/>
    <mergeCell ref="S117:U118"/>
    <mergeCell ref="D113:E114"/>
    <mergeCell ref="D115:E116"/>
    <mergeCell ref="N113:O114"/>
    <mergeCell ref="N115:O116"/>
    <mergeCell ref="B127:O127"/>
    <mergeCell ref="D117:E118"/>
    <mergeCell ref="D119:E120"/>
    <mergeCell ref="D121:E122"/>
    <mergeCell ref="F113:G114"/>
    <mergeCell ref="F115:G116"/>
    <mergeCell ref="F117:G118"/>
    <mergeCell ref="F119:G120"/>
    <mergeCell ref="F121:G122"/>
    <mergeCell ref="L119:M120"/>
    <mergeCell ref="L121:M122"/>
    <mergeCell ref="J113:K114"/>
    <mergeCell ref="J115:K116"/>
    <mergeCell ref="J117:K118"/>
    <mergeCell ref="J119:K120"/>
    <mergeCell ref="J121:K122"/>
    <mergeCell ref="B121:C122"/>
    <mergeCell ref="N119:O120"/>
    <mergeCell ref="N121:O122"/>
    <mergeCell ref="B125:C126"/>
    <mergeCell ref="D125:E126"/>
    <mergeCell ref="F125:G126"/>
    <mergeCell ref="H125:I126"/>
    <mergeCell ref="J125:K126"/>
    <mergeCell ref="P127:U127"/>
    <mergeCell ref="A196:E197"/>
    <mergeCell ref="R196:V197"/>
    <mergeCell ref="B199:I200"/>
    <mergeCell ref="B201:U203"/>
    <mergeCell ref="B179:N183"/>
    <mergeCell ref="B184:U189"/>
    <mergeCell ref="A191:E195"/>
    <mergeCell ref="R191:V195"/>
    <mergeCell ref="B162:Q163"/>
    <mergeCell ref="B164:U166"/>
    <mergeCell ref="B167:K170"/>
    <mergeCell ref="B171:T174"/>
    <mergeCell ref="L167:P170"/>
    <mergeCell ref="Q168:S169"/>
    <mergeCell ref="B175:T178"/>
    <mergeCell ref="B129:C130"/>
    <mergeCell ref="D129:L130"/>
    <mergeCell ref="M129:N130"/>
    <mergeCell ref="O129:P130"/>
    <mergeCell ref="Q129:Q130"/>
    <mergeCell ref="R129:S130"/>
    <mergeCell ref="B131:U133"/>
    <mergeCell ref="A149:E150"/>
    <mergeCell ref="N204:N205"/>
    <mergeCell ref="O204:P205"/>
    <mergeCell ref="B207:C208"/>
    <mergeCell ref="D207:J208"/>
    <mergeCell ref="K207:K208"/>
    <mergeCell ref="L207:M208"/>
    <mergeCell ref="N207:P208"/>
    <mergeCell ref="B211:P212"/>
    <mergeCell ref="B213:P219"/>
    <mergeCell ref="B209:T210"/>
    <mergeCell ref="R149:V150"/>
    <mergeCell ref="B152:U160"/>
    <mergeCell ref="B134:U141"/>
    <mergeCell ref="A290:E291"/>
    <mergeCell ref="R290:V291"/>
    <mergeCell ref="B293:U302"/>
    <mergeCell ref="B246:H247"/>
    <mergeCell ref="B248:T253"/>
    <mergeCell ref="B254:T269"/>
    <mergeCell ref="B270:U283"/>
    <mergeCell ref="A285:E289"/>
    <mergeCell ref="R285:V289"/>
    <mergeCell ref="F285:Q288"/>
    <mergeCell ref="F289:Q289"/>
    <mergeCell ref="F290:Q291"/>
    <mergeCell ref="A238:E242"/>
    <mergeCell ref="R238:V242"/>
    <mergeCell ref="A243:E244"/>
    <mergeCell ref="R243:V244"/>
    <mergeCell ref="B204:M205"/>
    <mergeCell ref="B220:P225"/>
    <mergeCell ref="B226:S236"/>
    <mergeCell ref="F242:Q242"/>
    <mergeCell ref="F243:Q244"/>
    <mergeCell ref="A336:E337"/>
    <mergeCell ref="R336:V337"/>
    <mergeCell ref="A331:E335"/>
    <mergeCell ref="R331:V335"/>
    <mergeCell ref="J316:L317"/>
    <mergeCell ref="M316:O317"/>
    <mergeCell ref="P316:Q317"/>
    <mergeCell ref="R316:S317"/>
    <mergeCell ref="T316:U317"/>
    <mergeCell ref="B318:F318"/>
    <mergeCell ref="G318:I318"/>
    <mergeCell ref="J318:L318"/>
    <mergeCell ref="M318:O318"/>
    <mergeCell ref="P318:Q318"/>
    <mergeCell ref="R318:S318"/>
    <mergeCell ref="T318:U318"/>
    <mergeCell ref="B319:F319"/>
    <mergeCell ref="G319:I319"/>
    <mergeCell ref="J319:L319"/>
    <mergeCell ref="M319:O319"/>
    <mergeCell ref="P319:Q319"/>
    <mergeCell ref="R319:S319"/>
    <mergeCell ref="T319:U319"/>
    <mergeCell ref="B327:U329"/>
    <mergeCell ref="A375:E379"/>
    <mergeCell ref="R375:V379"/>
    <mergeCell ref="A380:E381"/>
    <mergeCell ref="R380:V381"/>
    <mergeCell ref="B339:I341"/>
    <mergeCell ref="B342:U343"/>
    <mergeCell ref="B344:L357"/>
    <mergeCell ref="M344:U357"/>
    <mergeCell ref="F358:R373"/>
    <mergeCell ref="A427:E428"/>
    <mergeCell ref="R427:V428"/>
    <mergeCell ref="B383:S397"/>
    <mergeCell ref="B398:R405"/>
    <mergeCell ref="B406:J407"/>
    <mergeCell ref="B408:J410"/>
    <mergeCell ref="B411:U414"/>
    <mergeCell ref="B415:T420"/>
    <mergeCell ref="F426:Q426"/>
    <mergeCell ref="F427:Q428"/>
    <mergeCell ref="Z113:Z114"/>
    <mergeCell ref="Z115:Z116"/>
    <mergeCell ref="C477:K489"/>
    <mergeCell ref="L477:U483"/>
    <mergeCell ref="A469:E473"/>
    <mergeCell ref="R469:V473"/>
    <mergeCell ref="A474:E475"/>
    <mergeCell ref="R474:V475"/>
    <mergeCell ref="B444:U447"/>
    <mergeCell ref="B448:O450"/>
    <mergeCell ref="B451:U458"/>
    <mergeCell ref="B459:M461"/>
    <mergeCell ref="B462:H468"/>
    <mergeCell ref="J462:U468"/>
    <mergeCell ref="I464:I466"/>
    <mergeCell ref="B430:J433"/>
    <mergeCell ref="B434:J437"/>
    <mergeCell ref="B438:U440"/>
    <mergeCell ref="B316:F317"/>
    <mergeCell ref="G316:I317"/>
    <mergeCell ref="B441:N443"/>
    <mergeCell ref="A422:E426"/>
    <mergeCell ref="R422:V426"/>
    <mergeCell ref="G320:I320"/>
    <mergeCell ref="J320:L320"/>
    <mergeCell ref="M320:O320"/>
    <mergeCell ref="P320:Q320"/>
    <mergeCell ref="R320:S320"/>
    <mergeCell ref="K310:M311"/>
    <mergeCell ref="K312:M313"/>
    <mergeCell ref="K314:M315"/>
    <mergeCell ref="B322:F322"/>
    <mergeCell ref="G322:I322"/>
    <mergeCell ref="J322:L322"/>
    <mergeCell ref="M322:O322"/>
    <mergeCell ref="P322:Q322"/>
    <mergeCell ref="R322:S322"/>
    <mergeCell ref="B312:C313"/>
    <mergeCell ref="B314:C315"/>
    <mergeCell ref="B324:F324"/>
    <mergeCell ref="G324:I324"/>
    <mergeCell ref="J324:L324"/>
    <mergeCell ref="M324:O324"/>
    <mergeCell ref="P324:Q324"/>
    <mergeCell ref="R324:S324"/>
    <mergeCell ref="T324:U324"/>
    <mergeCell ref="T320:U320"/>
    <mergeCell ref="B321:F321"/>
    <mergeCell ref="G321:I321"/>
    <mergeCell ref="J321:L321"/>
    <mergeCell ref="M321:O321"/>
    <mergeCell ref="P321:Q321"/>
    <mergeCell ref="R321:S321"/>
    <mergeCell ref="T321:U321"/>
    <mergeCell ref="T322:U322"/>
    <mergeCell ref="B323:F323"/>
    <mergeCell ref="G323:I323"/>
    <mergeCell ref="J323:L323"/>
    <mergeCell ref="M323:O323"/>
    <mergeCell ref="P323:Q323"/>
    <mergeCell ref="R323:S323"/>
    <mergeCell ref="T323:U323"/>
    <mergeCell ref="B320:F320"/>
    <mergeCell ref="D306:G307"/>
    <mergeCell ref="D308:G309"/>
    <mergeCell ref="N310:Q311"/>
    <mergeCell ref="N312:Q313"/>
    <mergeCell ref="N314:Q315"/>
    <mergeCell ref="R306:U307"/>
    <mergeCell ref="R308:U309"/>
    <mergeCell ref="R310:U311"/>
    <mergeCell ref="R312:U313"/>
    <mergeCell ref="R314:U315"/>
    <mergeCell ref="F474:Q475"/>
    <mergeCell ref="F331:Q334"/>
    <mergeCell ref="F335:Q335"/>
    <mergeCell ref="F336:Q337"/>
    <mergeCell ref="F375:Q378"/>
    <mergeCell ref="F379:Q379"/>
    <mergeCell ref="F380:Q381"/>
    <mergeCell ref="F422:Q425"/>
    <mergeCell ref="F148:Q148"/>
    <mergeCell ref="F149:Q150"/>
    <mergeCell ref="F191:Q194"/>
    <mergeCell ref="F195:Q195"/>
    <mergeCell ref="F196:Q197"/>
    <mergeCell ref="F238:Q241"/>
    <mergeCell ref="D310:G311"/>
    <mergeCell ref="D312:G313"/>
    <mergeCell ref="D314:G315"/>
    <mergeCell ref="N306:Q307"/>
    <mergeCell ref="N308:Q309"/>
    <mergeCell ref="B326:S326"/>
    <mergeCell ref="H306:J307"/>
    <mergeCell ref="H308:J309"/>
    <mergeCell ref="H310:J311"/>
    <mergeCell ref="H312:J313"/>
    <mergeCell ref="W61:AA61"/>
    <mergeCell ref="B77:T83"/>
    <mergeCell ref="B84:T92"/>
    <mergeCell ref="B304:H305"/>
    <mergeCell ref="F144:Q147"/>
    <mergeCell ref="A144:E148"/>
    <mergeCell ref="R144:V148"/>
    <mergeCell ref="F469:Q472"/>
    <mergeCell ref="F473:Q473"/>
    <mergeCell ref="AA319:AC319"/>
    <mergeCell ref="H314:J315"/>
    <mergeCell ref="K306:M307"/>
    <mergeCell ref="K308:M309"/>
    <mergeCell ref="B325:F325"/>
    <mergeCell ref="G325:I325"/>
    <mergeCell ref="J325:L325"/>
    <mergeCell ref="M325:O325"/>
    <mergeCell ref="P325:Q325"/>
    <mergeCell ref="R325:S325"/>
    <mergeCell ref="T325:U325"/>
    <mergeCell ref="T326:U326"/>
    <mergeCell ref="B306:C307"/>
    <mergeCell ref="B308:C309"/>
    <mergeCell ref="B310:C311"/>
  </mergeCells>
  <conditionalFormatting sqref="B209:T210">
    <cfRule type="containsText" dxfId="1" priority="0" operator="containsText" text="Vs &lt; V so Tank is not stable against Seismic Sliding then self ancher is Nok">
      <formula>NOT(ISERROR(SEARCH("Vs &lt; V so Tank is not stable against Seismic Sliding then self ancher is Nok",B209)))</formula>
    </cfRule>
    <cfRule type="containsText" dxfId="0" priority="1" operator="containsText" text="Vs &gt; V so Tank is stable against Seismic Sliding then self ancher is ok">
      <formula>NOT(ISERROR(SEARCH("Vs &gt; V so Tank is stable against Seismic Sliding then self ancher is ok",B209)))</formula>
    </cfRule>
  </conditionalFormatting>
  <pageMargins left="0.25" right="0.25" top="0.75" bottom="0.75" header="0.3" footer="0.3"/>
  <pageSetup orientation="portrait" r:id="rId1"/>
  <rowBreaks count="8" manualBreakCount="8">
    <brk id="143" max="21" man="1"/>
    <brk id="190" max="21" man="1"/>
    <brk id="237" max="21" man="1"/>
    <brk id="284" max="21" man="1"/>
    <brk id="330" max="21" man="1"/>
    <brk id="374" max="21" man="1"/>
    <brk id="421" max="21" man="1"/>
    <brk id="468"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AB190"/>
  <sheetViews>
    <sheetView view="pageBreakPreview" topLeftCell="A79" zoomScaleNormal="100" zoomScaleSheetLayoutView="100" workbookViewId="0">
      <selection activeCell="F190" sqref="F190:Q194"/>
    </sheetView>
  </sheetViews>
  <sheetFormatPr defaultRowHeight="14.25"/>
  <cols>
    <col min="1" max="5" width="5.75" customWidth="1"/>
    <col min="6" max="6" width="6.625" customWidth="1"/>
    <col min="7" max="7" width="5.75" customWidth="1"/>
    <col min="8" max="8" width="7.125" customWidth="1"/>
    <col min="9" max="9" width="7.375" customWidth="1"/>
    <col min="10" max="10" width="6.25" customWidth="1"/>
    <col min="11" max="11" width="4.75" customWidth="1"/>
    <col min="12" max="12" width="5.875" customWidth="1"/>
    <col min="13" max="13" width="4.375" customWidth="1"/>
    <col min="14" max="15" width="3.75" customWidth="1"/>
    <col min="16" max="16" width="5.875" customWidth="1"/>
    <col min="17" max="17" width="8.75" customWidth="1"/>
    <col min="18" max="18" width="5.75" customWidth="1"/>
    <col min="19" max="20" width="3.75" customWidth="1"/>
    <col min="21" max="21" width="7.75" customWidth="1"/>
    <col min="22"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6.45"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19.149999999999999"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COVER!R196</f>
        <v>29</v>
      </c>
      <c r="S7" s="174" t="s">
        <v>752</v>
      </c>
      <c r="T7" s="263">
        <f>COVER!T196+1</f>
        <v>6</v>
      </c>
      <c r="U7" s="168" t="s">
        <v>753</v>
      </c>
      <c r="V7" s="188"/>
    </row>
    <row r="8" spans="1:22" ht="24.6"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COVER!Q45</f>
        <v>V01</v>
      </c>
      <c r="R8" s="173"/>
      <c r="S8" s="175"/>
      <c r="T8" s="264"/>
      <c r="U8" s="189"/>
      <c r="V8" s="190"/>
    </row>
    <row r="9" spans="1:22" ht="15">
      <c r="B9" s="351" t="s">
        <v>59</v>
      </c>
      <c r="C9" s="351"/>
      <c r="D9" s="351"/>
      <c r="E9" s="351"/>
      <c r="F9" s="351"/>
      <c r="G9" s="351"/>
      <c r="H9" s="30"/>
      <c r="I9" s="30"/>
      <c r="J9" s="30"/>
      <c r="K9" s="30"/>
      <c r="L9" s="30"/>
      <c r="M9" s="30"/>
      <c r="N9" s="30"/>
      <c r="O9" s="30"/>
      <c r="P9" s="30"/>
      <c r="Q9" s="30"/>
      <c r="R9" s="30"/>
      <c r="S9" s="30"/>
      <c r="T9" s="30"/>
      <c r="U9" s="30"/>
    </row>
    <row r="10" spans="1:22" ht="15">
      <c r="B10" s="351"/>
      <c r="C10" s="351"/>
      <c r="D10" s="351"/>
      <c r="E10" s="351"/>
      <c r="F10" s="351"/>
      <c r="G10" s="351"/>
      <c r="H10" s="30"/>
      <c r="I10" s="30"/>
      <c r="J10" s="30"/>
      <c r="K10" s="30"/>
      <c r="L10" s="30"/>
      <c r="M10" s="30"/>
      <c r="N10" s="30"/>
      <c r="O10" s="30"/>
      <c r="P10" s="30"/>
      <c r="Q10" s="30"/>
      <c r="R10" s="30"/>
      <c r="S10" s="30"/>
      <c r="T10" s="30"/>
      <c r="U10" s="30"/>
    </row>
    <row r="11" spans="1:22" ht="15">
      <c r="B11" s="351"/>
      <c r="C11" s="351"/>
      <c r="D11" s="351"/>
      <c r="E11" s="351"/>
      <c r="F11" s="351"/>
      <c r="G11" s="351"/>
      <c r="H11" s="30"/>
      <c r="I11" s="30"/>
      <c r="J11" s="30"/>
      <c r="K11" s="30"/>
      <c r="L11" s="30"/>
      <c r="M11" s="30"/>
      <c r="N11" s="30"/>
      <c r="O11" s="30"/>
      <c r="P11" s="30"/>
      <c r="Q11" s="30"/>
      <c r="R11" s="30"/>
      <c r="S11" s="30"/>
      <c r="T11" s="30"/>
      <c r="U11" s="30"/>
    </row>
    <row r="12" spans="1:22" ht="15" customHeight="1">
      <c r="B12" s="348"/>
      <c r="C12" s="348"/>
      <c r="D12" s="348"/>
      <c r="E12" s="348"/>
      <c r="F12" s="348"/>
      <c r="G12" s="348"/>
      <c r="H12" s="348"/>
      <c r="I12" s="348"/>
      <c r="J12" s="348"/>
      <c r="K12" s="348"/>
      <c r="L12" s="348"/>
      <c r="M12" s="348"/>
      <c r="N12" s="348"/>
      <c r="O12" s="348"/>
      <c r="P12" s="348"/>
      <c r="Q12" s="348"/>
      <c r="R12" s="348"/>
      <c r="S12" s="348"/>
      <c r="T12" s="348"/>
      <c r="U12" s="348"/>
    </row>
    <row r="13" spans="1:22" ht="15">
      <c r="B13" s="349"/>
      <c r="C13" s="349"/>
      <c r="D13" s="349"/>
      <c r="E13" s="349"/>
      <c r="F13" s="349"/>
      <c r="G13" s="349"/>
      <c r="H13" s="349"/>
      <c r="I13" s="349"/>
      <c r="J13" s="349"/>
      <c r="K13" s="349"/>
      <c r="L13" s="349"/>
      <c r="M13" s="349"/>
      <c r="N13" s="349"/>
      <c r="O13" s="349"/>
      <c r="P13" s="349"/>
      <c r="Q13" s="349"/>
      <c r="R13" s="349"/>
      <c r="S13" s="349"/>
      <c r="T13" s="349"/>
      <c r="U13" s="349"/>
    </row>
    <row r="14" spans="1:22" ht="15" customHeight="1">
      <c r="B14" s="348" t="s">
        <v>453</v>
      </c>
      <c r="C14" s="348"/>
      <c r="D14" s="348"/>
      <c r="E14" s="348"/>
      <c r="F14" s="348"/>
      <c r="G14" s="348"/>
      <c r="H14" s="348"/>
      <c r="I14" s="348"/>
      <c r="J14" s="348"/>
      <c r="K14" s="348"/>
      <c r="L14" s="348"/>
      <c r="M14" s="348"/>
      <c r="N14" s="348"/>
      <c r="O14" s="348"/>
      <c r="P14" s="348"/>
      <c r="Q14" s="348"/>
      <c r="R14" s="348"/>
      <c r="S14" s="348"/>
      <c r="T14" s="348"/>
      <c r="U14" s="348"/>
    </row>
    <row r="15" spans="1:22">
      <c r="B15" s="348"/>
      <c r="C15" s="348"/>
      <c r="D15" s="348"/>
      <c r="E15" s="348"/>
      <c r="F15" s="348"/>
      <c r="G15" s="348"/>
      <c r="H15" s="348"/>
      <c r="I15" s="348"/>
      <c r="J15" s="348"/>
      <c r="K15" s="348"/>
      <c r="L15" s="348"/>
      <c r="M15" s="348"/>
      <c r="N15" s="348"/>
      <c r="O15" s="348"/>
      <c r="P15" s="348"/>
      <c r="Q15" s="348"/>
      <c r="R15" s="348"/>
      <c r="S15" s="348"/>
      <c r="T15" s="348"/>
      <c r="U15" s="348"/>
    </row>
    <row r="16" spans="1:22" ht="15" customHeight="1">
      <c r="A16" s="157" t="s">
        <v>901</v>
      </c>
      <c r="B16" s="348"/>
      <c r="C16" s="348"/>
      <c r="D16" s="348"/>
      <c r="E16" s="348"/>
      <c r="F16" s="348"/>
      <c r="G16" s="348"/>
      <c r="H16" s="348"/>
      <c r="I16" s="348"/>
      <c r="J16" s="348"/>
      <c r="K16" s="348"/>
      <c r="L16" s="348"/>
      <c r="M16" s="348"/>
      <c r="N16" s="348"/>
      <c r="O16" s="348"/>
      <c r="P16" s="348"/>
      <c r="Q16" s="348"/>
      <c r="R16" s="47"/>
      <c r="S16" s="47"/>
      <c r="T16" s="47"/>
      <c r="U16" s="32"/>
      <c r="V16" s="55"/>
    </row>
    <row r="17" spans="2:27" ht="15" customHeight="1">
      <c r="B17" s="47"/>
      <c r="C17" s="47"/>
      <c r="D17" s="47"/>
      <c r="E17" s="47"/>
      <c r="F17" s="47"/>
      <c r="G17" s="47"/>
      <c r="H17" s="47"/>
      <c r="I17" s="47"/>
      <c r="J17" s="47"/>
      <c r="K17" s="47"/>
      <c r="L17" s="47"/>
      <c r="M17" s="47"/>
      <c r="N17" s="47"/>
      <c r="O17" s="47"/>
      <c r="P17" s="47"/>
      <c r="Q17" s="47"/>
      <c r="R17" s="47"/>
      <c r="S17" s="47"/>
      <c r="T17" s="47"/>
      <c r="U17" s="30"/>
    </row>
    <row r="18" spans="2:27">
      <c r="B18" s="361" t="s">
        <v>454</v>
      </c>
      <c r="C18" s="361"/>
      <c r="D18" s="361"/>
      <c r="E18" s="361"/>
      <c r="F18" s="361"/>
      <c r="G18" s="361"/>
      <c r="H18" s="361"/>
      <c r="I18" s="350" t="s">
        <v>34</v>
      </c>
      <c r="J18" s="350"/>
      <c r="K18" s="350">
        <f>(COVER!H153)/1000</f>
        <v>13</v>
      </c>
      <c r="L18" s="350"/>
      <c r="M18" s="53" t="s">
        <v>258</v>
      </c>
      <c r="Z18">
        <v>17</v>
      </c>
      <c r="AA18">
        <v>1733</v>
      </c>
    </row>
    <row r="19" spans="2:27">
      <c r="B19" s="361"/>
      <c r="C19" s="361"/>
      <c r="D19" s="361"/>
      <c r="E19" s="361"/>
      <c r="F19" s="361"/>
      <c r="G19" s="361"/>
      <c r="H19" s="361"/>
      <c r="I19" s="350" t="s">
        <v>64</v>
      </c>
      <c r="J19" s="350"/>
      <c r="K19" s="350">
        <f>COVER!H165</f>
        <v>1</v>
      </c>
      <c r="L19" s="350"/>
      <c r="M19" s="53"/>
      <c r="Z19">
        <v>7</v>
      </c>
      <c r="AA19">
        <f>Z19*AA18/Z18</f>
        <v>713.58823529411768</v>
      </c>
    </row>
    <row r="20" spans="2:27">
      <c r="B20" s="353"/>
      <c r="C20" s="353"/>
      <c r="D20" s="353"/>
      <c r="E20" s="353"/>
      <c r="F20" s="353"/>
      <c r="G20" s="353"/>
      <c r="I20" s="350" t="s">
        <v>65</v>
      </c>
      <c r="J20" s="350"/>
      <c r="K20" s="350">
        <f>COVER!N228</f>
        <v>137</v>
      </c>
      <c r="L20" s="350"/>
      <c r="M20" s="53" t="s">
        <v>458</v>
      </c>
    </row>
    <row r="21" spans="2:27">
      <c r="B21" s="353"/>
      <c r="C21" s="353"/>
      <c r="D21" s="353"/>
      <c r="E21" s="353"/>
      <c r="F21" s="353"/>
      <c r="G21" s="353"/>
      <c r="I21" s="350" t="s">
        <v>66</v>
      </c>
      <c r="J21" s="350"/>
      <c r="K21" s="350">
        <f>COVER!R228</f>
        <v>154</v>
      </c>
      <c r="L21" s="350"/>
      <c r="M21" s="53" t="s">
        <v>458</v>
      </c>
    </row>
    <row r="22" spans="2:27">
      <c r="B22" s="353"/>
      <c r="C22" s="353"/>
      <c r="D22" s="353"/>
      <c r="E22" s="353"/>
      <c r="F22" s="353"/>
      <c r="G22" s="353"/>
      <c r="I22" s="350" t="s">
        <v>67</v>
      </c>
      <c r="J22" s="350"/>
      <c r="K22" s="350">
        <f>COVER!H166</f>
        <v>1.6</v>
      </c>
      <c r="L22" s="350"/>
      <c r="M22" s="53" t="s">
        <v>29</v>
      </c>
    </row>
    <row r="23" spans="2:27" ht="15" customHeight="1">
      <c r="B23" s="353"/>
      <c r="C23" s="353"/>
      <c r="D23" s="353"/>
      <c r="E23" s="353"/>
      <c r="F23" s="353"/>
      <c r="G23" s="353"/>
      <c r="H23" s="45"/>
      <c r="I23" s="45"/>
      <c r="J23" s="45"/>
      <c r="K23" s="45"/>
      <c r="L23" s="45"/>
      <c r="M23" s="45"/>
      <c r="N23" s="45"/>
      <c r="O23" s="45"/>
      <c r="P23" s="45"/>
      <c r="Q23" s="44"/>
      <c r="R23" s="44"/>
      <c r="S23" s="44"/>
      <c r="T23" s="44"/>
      <c r="U23" s="44"/>
    </row>
    <row r="24" spans="2:27">
      <c r="B24" s="353"/>
      <c r="C24" s="353"/>
      <c r="D24" s="353"/>
      <c r="E24" s="353"/>
      <c r="F24" s="353"/>
      <c r="G24" s="353"/>
      <c r="H24" s="45" t="s">
        <v>455</v>
      </c>
      <c r="I24" s="45"/>
      <c r="J24" s="45"/>
      <c r="K24" s="45"/>
      <c r="L24" s="45"/>
      <c r="M24" s="45"/>
      <c r="N24" s="45"/>
      <c r="O24" s="45"/>
      <c r="P24" s="45"/>
      <c r="Q24" s="45"/>
      <c r="R24" s="45"/>
      <c r="S24" s="45"/>
      <c r="T24" s="45"/>
      <c r="U24" s="45"/>
      <c r="V24" s="29"/>
      <c r="W24" s="29"/>
    </row>
    <row r="25" spans="2:27">
      <c r="B25" s="44"/>
      <c r="C25" s="44"/>
      <c r="D25" s="44"/>
      <c r="E25" s="44"/>
      <c r="F25" s="44"/>
      <c r="G25" s="44"/>
      <c r="H25" s="44"/>
      <c r="I25" s="44"/>
      <c r="J25" s="44"/>
      <c r="K25" s="44"/>
      <c r="L25" s="44"/>
      <c r="M25" s="44"/>
      <c r="N25" s="44"/>
      <c r="O25" s="44"/>
      <c r="P25" s="44"/>
      <c r="Q25" s="44"/>
      <c r="R25" s="44"/>
      <c r="S25" s="44"/>
      <c r="T25" s="44"/>
    </row>
    <row r="26" spans="2:27" ht="15" customHeight="1">
      <c r="B26" s="5"/>
      <c r="C26" s="5"/>
      <c r="E26" s="44"/>
      <c r="F26" s="44"/>
      <c r="G26" s="44"/>
      <c r="H26" s="44"/>
      <c r="I26" s="44"/>
      <c r="J26" s="44"/>
      <c r="K26" s="44"/>
      <c r="L26" s="44"/>
      <c r="M26" s="44"/>
      <c r="N26" s="44"/>
      <c r="O26" s="44"/>
      <c r="P26" s="44"/>
      <c r="Q26" s="44"/>
      <c r="R26" s="44"/>
      <c r="S26" s="5"/>
      <c r="T26" s="5"/>
      <c r="U26" s="5"/>
    </row>
    <row r="27" spans="2:27">
      <c r="B27" s="5"/>
      <c r="C27" s="5"/>
      <c r="D27" s="44"/>
      <c r="E27" s="44"/>
      <c r="F27" s="44"/>
      <c r="G27" s="44"/>
      <c r="H27" s="44"/>
      <c r="I27" s="44"/>
      <c r="J27" s="44"/>
      <c r="K27" s="44"/>
      <c r="L27" s="44"/>
      <c r="M27" s="44"/>
      <c r="N27" s="44"/>
      <c r="O27" s="44"/>
      <c r="P27" s="44"/>
      <c r="Q27" s="44"/>
      <c r="R27" s="44"/>
      <c r="S27" s="5"/>
      <c r="T27" s="5"/>
      <c r="U27" s="5"/>
    </row>
    <row r="28" spans="2:27">
      <c r="B28" s="5"/>
      <c r="C28" s="5"/>
      <c r="D28" s="44"/>
      <c r="E28" s="44"/>
      <c r="F28" s="44"/>
      <c r="G28" s="44"/>
      <c r="H28" s="44"/>
      <c r="I28" s="44"/>
      <c r="J28" s="44"/>
      <c r="K28" s="44"/>
      <c r="L28" s="44"/>
      <c r="M28" s="44"/>
      <c r="N28" s="44"/>
      <c r="O28" s="44"/>
      <c r="P28" s="44"/>
      <c r="Q28" s="44"/>
      <c r="R28" s="44"/>
      <c r="S28" s="5"/>
      <c r="T28" s="5"/>
      <c r="U28" s="5"/>
    </row>
    <row r="29" spans="2:27">
      <c r="B29" s="5"/>
      <c r="C29" s="5"/>
      <c r="D29" s="44"/>
      <c r="E29" s="44"/>
      <c r="F29" s="44"/>
      <c r="G29" s="44"/>
      <c r="H29" s="44"/>
      <c r="I29" s="44"/>
      <c r="J29" s="44"/>
      <c r="K29" s="44"/>
      <c r="L29" s="44"/>
      <c r="M29" s="44"/>
      <c r="N29" s="44"/>
      <c r="O29" s="44"/>
      <c r="P29" s="44"/>
      <c r="Q29" s="44"/>
      <c r="R29" s="44"/>
      <c r="S29" s="5"/>
      <c r="T29" s="5"/>
      <c r="U29" s="5"/>
    </row>
    <row r="30" spans="2:27">
      <c r="B30" s="5"/>
      <c r="C30" s="5"/>
      <c r="D30" s="44"/>
      <c r="E30" s="44"/>
      <c r="F30" s="44"/>
      <c r="G30" s="44"/>
      <c r="H30" s="44"/>
      <c r="I30" s="44"/>
      <c r="J30" s="44"/>
      <c r="K30" s="44"/>
      <c r="L30" s="44"/>
      <c r="M30" s="44"/>
      <c r="N30" s="44"/>
      <c r="O30" s="44"/>
      <c r="P30" s="44"/>
      <c r="Q30" s="44"/>
      <c r="R30" s="44"/>
      <c r="S30" s="5"/>
      <c r="T30" s="5"/>
      <c r="U30" s="5"/>
    </row>
    <row r="31" spans="2:27">
      <c r="B31" s="5"/>
      <c r="C31" s="5"/>
      <c r="D31" s="44"/>
      <c r="E31" s="44"/>
      <c r="F31" s="44"/>
      <c r="G31" s="44"/>
      <c r="H31" s="44"/>
      <c r="I31" s="44"/>
      <c r="J31" s="44"/>
      <c r="K31" s="44"/>
      <c r="L31" s="44"/>
      <c r="M31" s="44"/>
      <c r="N31" s="44"/>
      <c r="O31" s="44"/>
      <c r="P31" s="44"/>
      <c r="Q31" s="44"/>
      <c r="R31" s="44"/>
      <c r="S31" s="5"/>
      <c r="T31" s="5"/>
      <c r="U31" s="5"/>
    </row>
    <row r="32" spans="2:27">
      <c r="B32" s="5"/>
      <c r="C32" s="5"/>
      <c r="D32" s="5"/>
      <c r="E32" s="5"/>
      <c r="F32" s="5"/>
      <c r="G32" s="5"/>
      <c r="H32" s="5"/>
      <c r="I32" s="5"/>
      <c r="J32" s="5"/>
      <c r="K32" s="5"/>
      <c r="L32" s="5"/>
      <c r="M32" s="44"/>
      <c r="N32" s="44"/>
      <c r="O32" s="44"/>
      <c r="P32" s="44"/>
      <c r="Q32" s="44"/>
      <c r="R32" s="44"/>
      <c r="S32" s="5"/>
      <c r="T32" s="5"/>
      <c r="U32" s="5"/>
    </row>
    <row r="33" spans="1:28">
      <c r="B33" s="358"/>
      <c r="C33" s="358"/>
      <c r="D33" s="358"/>
      <c r="E33" s="358"/>
      <c r="F33" s="358"/>
      <c r="G33" s="358"/>
      <c r="H33" s="358"/>
      <c r="I33" s="358"/>
      <c r="J33" s="358"/>
      <c r="K33" s="358"/>
      <c r="M33" s="44"/>
      <c r="N33" s="44"/>
      <c r="O33" s="44"/>
      <c r="P33" s="44"/>
      <c r="Q33" s="44"/>
      <c r="R33" s="44"/>
    </row>
    <row r="34" spans="1:28">
      <c r="B34" s="358"/>
      <c r="C34" s="358"/>
      <c r="D34" s="358"/>
      <c r="E34" s="358"/>
      <c r="F34" s="358"/>
      <c r="G34" s="358"/>
      <c r="H34" s="358"/>
      <c r="I34" s="358"/>
      <c r="J34" s="358"/>
      <c r="K34" s="358"/>
      <c r="AB34">
        <v>1000</v>
      </c>
    </row>
    <row r="35" spans="1:28">
      <c r="A35" t="s">
        <v>902</v>
      </c>
      <c r="B35" s="3"/>
      <c r="C35" s="3"/>
      <c r="D35" s="3"/>
      <c r="E35" s="3"/>
      <c r="F35" s="3"/>
      <c r="G35" s="3"/>
      <c r="H35" s="3"/>
      <c r="I35" s="3"/>
      <c r="J35" s="3"/>
      <c r="K35" s="3"/>
      <c r="L35" s="3"/>
      <c r="M35" s="3"/>
      <c r="N35" s="3"/>
      <c r="O35" s="3"/>
      <c r="P35" s="3"/>
      <c r="Q35" s="3"/>
      <c r="R35" s="3"/>
      <c r="S35" s="3"/>
      <c r="T35" s="3"/>
      <c r="U35" s="3"/>
      <c r="V35" s="3"/>
      <c r="AA35">
        <v>5500</v>
      </c>
      <c r="AB35">
        <v>1500</v>
      </c>
    </row>
    <row r="36" spans="1:28">
      <c r="B36" s="3"/>
      <c r="C36" s="3"/>
      <c r="D36" s="3"/>
      <c r="E36" s="3"/>
      <c r="F36" s="3"/>
      <c r="G36" s="3"/>
      <c r="H36" s="3"/>
      <c r="I36" s="3"/>
      <c r="J36" s="3"/>
      <c r="K36" s="3"/>
      <c r="L36" s="3"/>
      <c r="M36" s="3"/>
      <c r="N36" s="3"/>
      <c r="O36" s="3"/>
      <c r="P36" s="3"/>
      <c r="Q36" s="3"/>
      <c r="R36" s="3"/>
      <c r="S36" s="3"/>
      <c r="T36" s="3"/>
      <c r="U36" s="3"/>
      <c r="V36" s="3"/>
      <c r="AB36">
        <v>1500</v>
      </c>
    </row>
    <row r="37" spans="1:28" ht="15" customHeight="1">
      <c r="B37" s="359" t="s">
        <v>60</v>
      </c>
      <c r="C37" s="359"/>
      <c r="D37" s="360" t="s">
        <v>61</v>
      </c>
      <c r="E37" s="360"/>
      <c r="F37" s="360"/>
      <c r="G37" s="360" t="s">
        <v>62</v>
      </c>
      <c r="H37" s="360"/>
      <c r="I37" s="360"/>
      <c r="J37" s="360" t="s">
        <v>456</v>
      </c>
      <c r="K37" s="360"/>
      <c r="L37" s="360"/>
      <c r="M37" s="335" t="s">
        <v>457</v>
      </c>
      <c r="N37" s="354"/>
      <c r="O37" s="335" t="s">
        <v>705</v>
      </c>
      <c r="P37" s="354"/>
      <c r="Q37" s="335" t="s">
        <v>63</v>
      </c>
      <c r="R37" s="354"/>
      <c r="S37" s="335" t="s">
        <v>889</v>
      </c>
      <c r="T37" s="336"/>
      <c r="U37" s="333" t="s">
        <v>890</v>
      </c>
      <c r="AB37">
        <v>1500</v>
      </c>
    </row>
    <row r="38" spans="1:28" ht="21.75" customHeight="1">
      <c r="B38" s="359"/>
      <c r="C38" s="359"/>
      <c r="D38" s="360"/>
      <c r="E38" s="360"/>
      <c r="F38" s="360"/>
      <c r="G38" s="360"/>
      <c r="H38" s="360"/>
      <c r="I38" s="360"/>
      <c r="J38" s="360"/>
      <c r="K38" s="360"/>
      <c r="L38" s="360"/>
      <c r="M38" s="337"/>
      <c r="N38" s="355"/>
      <c r="O38" s="337"/>
      <c r="P38" s="355"/>
      <c r="Q38" s="337"/>
      <c r="R38" s="355"/>
      <c r="S38" s="337"/>
      <c r="T38" s="338"/>
      <c r="U38" s="333"/>
    </row>
    <row r="39" spans="1:28">
      <c r="B39" s="218" t="s">
        <v>448</v>
      </c>
      <c r="C39" s="218"/>
      <c r="D39" s="218">
        <v>2000</v>
      </c>
      <c r="E39" s="218"/>
      <c r="F39" s="218"/>
      <c r="G39" s="352">
        <f>(COVER!$H$154/1000)</f>
        <v>9.5</v>
      </c>
      <c r="H39" s="352"/>
      <c r="I39" s="352"/>
      <c r="J39" s="352">
        <f>(((4.9*(G39-0.3)*$K$18*$K$19)/($K$20))+($K$22))</f>
        <v>5.8776642335766418</v>
      </c>
      <c r="K39" s="352"/>
      <c r="L39" s="352"/>
      <c r="M39" s="339">
        <f>(((4.9*(G39-0.3)*($K$18))/($K$21)))</f>
        <v>3.8054545454545452</v>
      </c>
      <c r="N39" s="363"/>
      <c r="O39" s="362">
        <f>'Seismic design2007'!F130+$K$22</f>
        <v>8</v>
      </c>
      <c r="P39" s="362"/>
      <c r="Q39" s="356">
        <v>8</v>
      </c>
      <c r="R39" s="357"/>
      <c r="S39" s="339">
        <f>($K$18)*PI()*(D39/1000)*(Q39/1000)*7850</f>
        <v>5129.5924847814149</v>
      </c>
      <c r="T39" s="340"/>
      <c r="U39" s="145">
        <f>($K$18)*PI()*(D39/1000)*((Q39-$K$22)/1000)*7850</f>
        <v>4103.6739878251319</v>
      </c>
    </row>
    <row r="40" spans="1:28">
      <c r="B40" s="218" t="s">
        <v>449</v>
      </c>
      <c r="C40" s="218"/>
      <c r="D40" s="218">
        <v>2000</v>
      </c>
      <c r="E40" s="218"/>
      <c r="F40" s="218"/>
      <c r="G40" s="352">
        <f>G39-(D39/1000)</f>
        <v>7.5</v>
      </c>
      <c r="H40" s="352"/>
      <c r="I40" s="352"/>
      <c r="J40" s="352">
        <f t="shared" ref="J40:J43" si="0">(((4.9*(G40-0.3)*$K$18*$K$19)/($K$20))+($K$22))</f>
        <v>4.947737226277372</v>
      </c>
      <c r="K40" s="352"/>
      <c r="L40" s="352"/>
      <c r="M40" s="339">
        <f t="shared" ref="M40:M43" si="1">(((4.9*(G40-0.3)*($K$18))/($K$21)))</f>
        <v>2.978181818181818</v>
      </c>
      <c r="N40" s="363"/>
      <c r="O40" s="362">
        <f>'Seismic design2007'!F132+$K$22</f>
        <v>8</v>
      </c>
      <c r="P40" s="362"/>
      <c r="Q40" s="356">
        <v>8</v>
      </c>
      <c r="R40" s="357"/>
      <c r="S40" s="339">
        <f t="shared" ref="S40:S43" si="2">($K$18)*PI()*(D40/1000)*(Q40/1000)*7850</f>
        <v>5129.5924847814149</v>
      </c>
      <c r="T40" s="340"/>
      <c r="U40" s="145">
        <f t="shared" ref="U40:U44" si="3">($K$18)*PI()*(D40/1000)*((Q40-$K$22)/1000)*7850</f>
        <v>4103.6739878251319</v>
      </c>
    </row>
    <row r="41" spans="1:28">
      <c r="B41" s="218" t="s">
        <v>450</v>
      </c>
      <c r="C41" s="218"/>
      <c r="D41" s="218">
        <v>1500</v>
      </c>
      <c r="E41" s="218"/>
      <c r="F41" s="218"/>
      <c r="G41" s="352">
        <f t="shared" ref="G41:G43" si="4">G40-(D40/1000)</f>
        <v>5.5</v>
      </c>
      <c r="H41" s="352"/>
      <c r="I41" s="352"/>
      <c r="J41" s="352">
        <f t="shared" si="0"/>
        <v>4.0178102189781022</v>
      </c>
      <c r="K41" s="352"/>
      <c r="L41" s="352"/>
      <c r="M41" s="339">
        <f t="shared" si="1"/>
        <v>2.1509090909090913</v>
      </c>
      <c r="N41" s="363"/>
      <c r="O41" s="362">
        <f>'Seismic design2007'!F134+$K$22</f>
        <v>6</v>
      </c>
      <c r="P41" s="362"/>
      <c r="Q41" s="356">
        <v>6</v>
      </c>
      <c r="R41" s="357"/>
      <c r="S41" s="339">
        <f t="shared" si="2"/>
        <v>2885.395772689546</v>
      </c>
      <c r="T41" s="340"/>
      <c r="U41" s="145">
        <f t="shared" si="3"/>
        <v>2115.9568999723338</v>
      </c>
    </row>
    <row r="42" spans="1:28">
      <c r="B42" s="218" t="s">
        <v>451</v>
      </c>
      <c r="C42" s="218"/>
      <c r="D42" s="218">
        <v>1500</v>
      </c>
      <c r="E42" s="218"/>
      <c r="F42" s="218"/>
      <c r="G42" s="352">
        <f t="shared" si="4"/>
        <v>4</v>
      </c>
      <c r="H42" s="352"/>
      <c r="I42" s="352"/>
      <c r="J42" s="352">
        <f t="shared" si="0"/>
        <v>3.3203649635036498</v>
      </c>
      <c r="K42" s="352"/>
      <c r="L42" s="352"/>
      <c r="M42" s="339">
        <f t="shared" si="1"/>
        <v>1.5304545454545457</v>
      </c>
      <c r="N42" s="363"/>
      <c r="O42" s="362">
        <f>'Seismic design2007'!F136+$K$22</f>
        <v>6</v>
      </c>
      <c r="P42" s="362"/>
      <c r="Q42" s="356">
        <v>6</v>
      </c>
      <c r="R42" s="357"/>
      <c r="S42" s="339">
        <f t="shared" si="2"/>
        <v>2885.395772689546</v>
      </c>
      <c r="T42" s="340"/>
      <c r="U42" s="145">
        <f t="shared" si="3"/>
        <v>2115.9568999723338</v>
      </c>
    </row>
    <row r="43" spans="1:28">
      <c r="B43" s="218" t="s">
        <v>452</v>
      </c>
      <c r="C43" s="218"/>
      <c r="D43" s="218">
        <v>1500</v>
      </c>
      <c r="E43" s="218"/>
      <c r="F43" s="218"/>
      <c r="G43" s="352">
        <f t="shared" si="4"/>
        <v>2.5</v>
      </c>
      <c r="H43" s="352"/>
      <c r="I43" s="352"/>
      <c r="J43" s="352">
        <f t="shared" si="0"/>
        <v>2.6229197080291975</v>
      </c>
      <c r="K43" s="352"/>
      <c r="L43" s="352"/>
      <c r="M43" s="339">
        <f t="shared" si="1"/>
        <v>0.91000000000000014</v>
      </c>
      <c r="N43" s="363"/>
      <c r="O43" s="362">
        <f>'Seismic design2007'!F138+$K$22</f>
        <v>6</v>
      </c>
      <c r="P43" s="362"/>
      <c r="Q43" s="356">
        <v>6</v>
      </c>
      <c r="R43" s="357"/>
      <c r="S43" s="339">
        <f t="shared" si="2"/>
        <v>2885.395772689546</v>
      </c>
      <c r="T43" s="340"/>
      <c r="U43" s="145">
        <f t="shared" si="3"/>
        <v>2115.9568999723338</v>
      </c>
    </row>
    <row r="44" spans="1:28">
      <c r="B44" s="218" t="s">
        <v>505</v>
      </c>
      <c r="C44" s="218"/>
      <c r="D44" s="218">
        <v>1000</v>
      </c>
      <c r="E44" s="218"/>
      <c r="F44" s="218"/>
      <c r="G44" s="352">
        <f t="shared" ref="G44" si="5">G43-(D43/1000)</f>
        <v>1</v>
      </c>
      <c r="H44" s="352"/>
      <c r="I44" s="352"/>
      <c r="J44" s="352">
        <f t="shared" ref="J44" si="6">(((4.9*(G44-0.3)*$K$18*$K$19)/($K$20))+($K$22))</f>
        <v>1.9254744525547447</v>
      </c>
      <c r="K44" s="352"/>
      <c r="L44" s="352"/>
      <c r="M44" s="339">
        <f t="shared" ref="M44" si="7">(((4.9*(G44-0.3)*($K$18))/($K$21)))</f>
        <v>0.28954545454545455</v>
      </c>
      <c r="N44" s="363"/>
      <c r="O44" s="362">
        <v>6</v>
      </c>
      <c r="P44" s="362"/>
      <c r="Q44" s="356">
        <v>6</v>
      </c>
      <c r="R44" s="357"/>
      <c r="S44" s="339">
        <f t="shared" ref="S44" si="8">($K$18)*PI()*(D44/1000)*(Q44/1000)*7850</f>
        <v>1923.5971817930306</v>
      </c>
      <c r="T44" s="340"/>
      <c r="U44" s="145">
        <f t="shared" si="3"/>
        <v>1410.6379333148891</v>
      </c>
      <c r="V44" s="55"/>
    </row>
    <row r="45" spans="1:28">
      <c r="B45" s="218"/>
      <c r="C45" s="218"/>
      <c r="D45" s="218"/>
      <c r="E45" s="218"/>
      <c r="F45" s="218"/>
      <c r="G45" s="352"/>
      <c r="H45" s="352"/>
      <c r="I45" s="352"/>
      <c r="J45" s="352"/>
      <c r="K45" s="352"/>
      <c r="L45" s="352"/>
      <c r="M45" s="339"/>
      <c r="N45" s="363"/>
      <c r="O45" s="362"/>
      <c r="P45" s="362"/>
      <c r="Q45" s="356"/>
      <c r="R45" s="357"/>
      <c r="S45" s="339"/>
      <c r="T45" s="340"/>
      <c r="U45" s="143"/>
      <c r="V45" s="55"/>
    </row>
    <row r="46" spans="1:28">
      <c r="B46" s="218"/>
      <c r="C46" s="218"/>
      <c r="D46" s="218"/>
      <c r="E46" s="218"/>
      <c r="F46" s="218"/>
      <c r="G46" s="352"/>
      <c r="H46" s="352"/>
      <c r="I46" s="352"/>
      <c r="J46" s="352"/>
      <c r="K46" s="352"/>
      <c r="L46" s="352"/>
      <c r="M46" s="339"/>
      <c r="N46" s="363"/>
      <c r="O46" s="362"/>
      <c r="P46" s="362"/>
      <c r="Q46" s="356"/>
      <c r="R46" s="357"/>
      <c r="S46" s="339"/>
      <c r="T46" s="340"/>
      <c r="U46" s="143"/>
      <c r="V46" s="55"/>
    </row>
    <row r="47" spans="1:28">
      <c r="B47" s="218" t="s">
        <v>71</v>
      </c>
      <c r="C47" s="218"/>
      <c r="D47" s="218"/>
      <c r="E47" s="218"/>
      <c r="F47" s="218"/>
      <c r="G47" s="218"/>
      <c r="H47" s="218"/>
      <c r="I47" s="218"/>
      <c r="J47" s="218"/>
      <c r="K47" s="218"/>
      <c r="L47" s="218"/>
      <c r="M47" s="218"/>
      <c r="N47" s="218"/>
      <c r="O47" s="218"/>
      <c r="P47" s="218"/>
      <c r="Q47" s="218"/>
      <c r="R47" s="218"/>
      <c r="S47" s="334">
        <f>SUM(S39:T44)</f>
        <v>20838.969469424497</v>
      </c>
      <c r="T47" s="334"/>
      <c r="U47" s="144">
        <f>SUM(U39:U46)</f>
        <v>15965.856608882155</v>
      </c>
    </row>
    <row r="48" spans="1:28">
      <c r="B48" s="13"/>
      <c r="C48" s="13"/>
      <c r="D48" s="13"/>
      <c r="E48" s="13"/>
      <c r="F48" s="13"/>
      <c r="G48" s="13"/>
      <c r="H48" s="13"/>
      <c r="I48" s="13"/>
      <c r="J48" s="13"/>
      <c r="K48" s="13"/>
      <c r="L48" s="13"/>
      <c r="M48" s="13"/>
      <c r="N48" s="13"/>
      <c r="O48" s="13"/>
      <c r="P48" s="13"/>
      <c r="Q48" s="13"/>
      <c r="R48" s="13"/>
      <c r="S48" s="97"/>
      <c r="T48" s="97"/>
      <c r="U48" s="97"/>
    </row>
    <row r="49" spans="1:22">
      <c r="B49" s="100" t="s">
        <v>704</v>
      </c>
      <c r="C49" s="13"/>
      <c r="D49" s="13"/>
      <c r="E49" s="13"/>
      <c r="F49" s="13"/>
      <c r="G49" s="13"/>
      <c r="H49" s="13"/>
      <c r="I49" s="13"/>
      <c r="J49" s="13"/>
      <c r="K49" s="13"/>
      <c r="L49" s="13"/>
      <c r="M49" s="13"/>
      <c r="N49" s="13"/>
      <c r="O49" s="13"/>
      <c r="P49" s="13"/>
      <c r="Q49" s="13"/>
      <c r="R49" s="13"/>
      <c r="S49" s="97"/>
      <c r="T49" s="97"/>
      <c r="U49" s="97"/>
    </row>
    <row r="50" spans="1:22">
      <c r="B50" s="13"/>
      <c r="C50" s="13"/>
      <c r="D50" s="13"/>
      <c r="E50" s="13"/>
      <c r="F50" s="13"/>
      <c r="G50" s="13"/>
      <c r="H50" s="13"/>
      <c r="K50" s="13"/>
      <c r="L50" s="13" t="s">
        <v>726</v>
      </c>
      <c r="M50" s="13"/>
      <c r="N50" s="13"/>
      <c r="O50" s="13"/>
      <c r="P50" s="13"/>
      <c r="Q50" s="13"/>
      <c r="R50" s="13"/>
      <c r="S50" s="364">
        <f>SUM(U39:U44)</f>
        <v>15965.856608882155</v>
      </c>
      <c r="T50" s="364"/>
      <c r="U50" s="364"/>
    </row>
    <row r="51" spans="1:22">
      <c r="B51" s="13"/>
      <c r="C51" s="13"/>
      <c r="D51" s="13"/>
      <c r="E51" s="13"/>
      <c r="F51" s="13"/>
      <c r="G51" s="13"/>
      <c r="H51" s="13"/>
      <c r="I51" s="13"/>
      <c r="J51" s="13"/>
      <c r="K51" s="13"/>
      <c r="L51" s="13"/>
      <c r="M51" s="13"/>
      <c r="N51" s="13"/>
      <c r="O51" s="13"/>
      <c r="P51" s="13"/>
      <c r="Q51" s="13"/>
      <c r="R51" s="13"/>
      <c r="S51" s="97"/>
      <c r="T51" s="97"/>
      <c r="U51" s="97"/>
    </row>
    <row r="52" spans="1:22" ht="15" thickBot="1">
      <c r="S52" s="353"/>
      <c r="T52" s="353"/>
      <c r="U52" s="353"/>
    </row>
    <row r="53" spans="1:22" ht="14.45" customHeight="1">
      <c r="A53" s="229"/>
      <c r="B53" s="230"/>
      <c r="C53" s="230"/>
      <c r="D53" s="230"/>
      <c r="E53" s="231"/>
      <c r="F53" s="158" t="str">
        <f>F1</f>
        <v>نگهداشت و افزایش تولید میدان نفتی بینک
سطح الارض و ابنیه تحت الارض 
خرید مخازن ذخیره گاز ایستگاه تقویت فشار گاز بینک 
(قرارداد BK-HD-GCS-CO-0026_00 )</v>
      </c>
      <c r="G53" s="159"/>
      <c r="H53" s="159"/>
      <c r="I53" s="159"/>
      <c r="J53" s="159"/>
      <c r="K53" s="159"/>
      <c r="L53" s="159"/>
      <c r="M53" s="159"/>
      <c r="N53" s="159"/>
      <c r="O53" s="159"/>
      <c r="P53" s="159"/>
      <c r="Q53" s="160"/>
      <c r="R53" s="238"/>
      <c r="S53" s="238"/>
      <c r="T53" s="238"/>
      <c r="U53" s="238"/>
      <c r="V53" s="239"/>
    </row>
    <row r="54" spans="1:22">
      <c r="A54" s="232"/>
      <c r="B54" s="233"/>
      <c r="C54" s="233"/>
      <c r="D54" s="233"/>
      <c r="E54" s="234"/>
      <c r="F54" s="161"/>
      <c r="G54" s="162"/>
      <c r="H54" s="162"/>
      <c r="I54" s="162"/>
      <c r="J54" s="162"/>
      <c r="K54" s="162"/>
      <c r="L54" s="162"/>
      <c r="M54" s="162"/>
      <c r="N54" s="162"/>
      <c r="O54" s="162"/>
      <c r="P54" s="162"/>
      <c r="Q54" s="163"/>
      <c r="R54" s="177"/>
      <c r="S54" s="177"/>
      <c r="T54" s="177"/>
      <c r="U54" s="177"/>
      <c r="V54" s="240"/>
    </row>
    <row r="55" spans="1:22">
      <c r="A55" s="232"/>
      <c r="B55" s="233"/>
      <c r="C55" s="233"/>
      <c r="D55" s="233"/>
      <c r="E55" s="234"/>
      <c r="F55" s="161"/>
      <c r="G55" s="162"/>
      <c r="H55" s="162"/>
      <c r="I55" s="162"/>
      <c r="J55" s="162"/>
      <c r="K55" s="162"/>
      <c r="L55" s="162"/>
      <c r="M55" s="162"/>
      <c r="N55" s="162"/>
      <c r="O55" s="162"/>
      <c r="P55" s="162"/>
      <c r="Q55" s="163"/>
      <c r="R55" s="177"/>
      <c r="S55" s="177"/>
      <c r="T55" s="177"/>
      <c r="U55" s="177"/>
      <c r="V55" s="240"/>
    </row>
    <row r="56" spans="1:22">
      <c r="A56" s="232"/>
      <c r="B56" s="233"/>
      <c r="C56" s="233"/>
      <c r="D56" s="233"/>
      <c r="E56" s="234"/>
      <c r="F56" s="161"/>
      <c r="G56" s="162"/>
      <c r="H56" s="162"/>
      <c r="I56" s="162"/>
      <c r="J56" s="162"/>
      <c r="K56" s="162"/>
      <c r="L56" s="162"/>
      <c r="M56" s="162"/>
      <c r="N56" s="162"/>
      <c r="O56" s="162"/>
      <c r="P56" s="162"/>
      <c r="Q56" s="163"/>
      <c r="R56" s="177"/>
      <c r="S56" s="177"/>
      <c r="T56" s="177"/>
      <c r="U56" s="177"/>
      <c r="V56" s="240"/>
    </row>
    <row r="57" spans="1:22">
      <c r="A57" s="232"/>
      <c r="B57" s="233"/>
      <c r="C57" s="233"/>
      <c r="D57" s="233"/>
      <c r="E57" s="234"/>
      <c r="F57" s="164"/>
      <c r="G57" s="165"/>
      <c r="H57" s="165"/>
      <c r="I57" s="165"/>
      <c r="J57" s="165"/>
      <c r="K57" s="165"/>
      <c r="L57" s="165"/>
      <c r="M57" s="165"/>
      <c r="N57" s="165"/>
      <c r="O57" s="165"/>
      <c r="P57" s="165"/>
      <c r="Q57" s="166"/>
      <c r="R57" s="177"/>
      <c r="S57" s="177"/>
      <c r="T57" s="177"/>
      <c r="U57" s="177"/>
      <c r="V57" s="240"/>
    </row>
    <row r="58" spans="1:22" ht="22.9" customHeight="1">
      <c r="A58" s="235"/>
      <c r="B58" s="236"/>
      <c r="C58" s="236"/>
      <c r="D58" s="236"/>
      <c r="E58" s="237"/>
      <c r="F58" s="265" t="str">
        <f>F6</f>
        <v>Mechanical Calculation Book For Fire Water Tanks (TK-2301A/B)</v>
      </c>
      <c r="G58" s="266"/>
      <c r="H58" s="266"/>
      <c r="I58" s="266"/>
      <c r="J58" s="266"/>
      <c r="K58" s="266"/>
      <c r="L58" s="266"/>
      <c r="M58" s="266"/>
      <c r="N58" s="266"/>
      <c r="O58" s="266"/>
      <c r="P58" s="266"/>
      <c r="Q58" s="267"/>
      <c r="R58" s="177"/>
      <c r="S58" s="177"/>
      <c r="T58" s="177"/>
      <c r="U58" s="177"/>
      <c r="V58" s="240"/>
    </row>
    <row r="59" spans="1:22" ht="22.15" customHeight="1">
      <c r="A59" s="167" t="s">
        <v>743</v>
      </c>
      <c r="B59" s="168"/>
      <c r="C59" s="168"/>
      <c r="D59" s="168"/>
      <c r="E59" s="169"/>
      <c r="F59" s="125" t="s">
        <v>744</v>
      </c>
      <c r="G59" s="170" t="s">
        <v>745</v>
      </c>
      <c r="H59" s="171"/>
      <c r="I59" s="170" t="s">
        <v>746</v>
      </c>
      <c r="J59" s="171"/>
      <c r="K59" s="170" t="s">
        <v>747</v>
      </c>
      <c r="L59" s="171"/>
      <c r="M59" s="125" t="s">
        <v>748</v>
      </c>
      <c r="N59" s="170" t="s">
        <v>749</v>
      </c>
      <c r="O59" s="171"/>
      <c r="P59" s="125" t="s">
        <v>750</v>
      </c>
      <c r="Q59" s="126" t="s">
        <v>751</v>
      </c>
      <c r="R59" s="172">
        <f>R7</f>
        <v>29</v>
      </c>
      <c r="S59" s="174" t="s">
        <v>752</v>
      </c>
      <c r="T59" s="263">
        <f>T7+1</f>
        <v>7</v>
      </c>
      <c r="U59" s="168" t="s">
        <v>753</v>
      </c>
      <c r="V59" s="188"/>
    </row>
    <row r="60" spans="1:22" ht="18.75" customHeight="1" thickBot="1">
      <c r="A60" s="191" t="s">
        <v>754</v>
      </c>
      <c r="B60" s="175"/>
      <c r="C60" s="175"/>
      <c r="D60" s="175"/>
      <c r="E60" s="192"/>
      <c r="F60" s="132" t="s">
        <v>755</v>
      </c>
      <c r="G60" s="193" t="s">
        <v>756</v>
      </c>
      <c r="H60" s="193"/>
      <c r="I60" s="193" t="s">
        <v>878</v>
      </c>
      <c r="J60" s="193"/>
      <c r="K60" s="193">
        <v>120</v>
      </c>
      <c r="L60" s="193"/>
      <c r="M60" s="132" t="s">
        <v>757</v>
      </c>
      <c r="N60" s="193" t="s">
        <v>879</v>
      </c>
      <c r="O60" s="193"/>
      <c r="P60" s="142" t="s">
        <v>881</v>
      </c>
      <c r="Q60" s="133" t="str">
        <f>Q8</f>
        <v>V01</v>
      </c>
      <c r="R60" s="173"/>
      <c r="S60" s="175"/>
      <c r="T60" s="264"/>
      <c r="U60" s="189"/>
      <c r="V60" s="190"/>
    </row>
    <row r="62" spans="1:22" ht="15">
      <c r="B62" s="30" t="s">
        <v>679</v>
      </c>
      <c r="C62" s="30"/>
      <c r="D62" s="30"/>
      <c r="E62" s="30"/>
      <c r="F62" s="30"/>
      <c r="G62" s="30"/>
      <c r="H62" s="30"/>
      <c r="I62" s="30"/>
      <c r="J62" s="30"/>
      <c r="K62" s="30"/>
      <c r="L62" s="30"/>
      <c r="M62" s="30"/>
      <c r="N62" s="30"/>
      <c r="O62" s="30"/>
      <c r="P62" s="30"/>
      <c r="Q62" s="30"/>
      <c r="R62" s="30"/>
      <c r="S62" s="30"/>
      <c r="T62" s="30"/>
      <c r="U62" s="30"/>
    </row>
    <row r="63" spans="1:22" ht="15">
      <c r="B63" s="30"/>
      <c r="C63" s="30"/>
      <c r="D63" s="30"/>
      <c r="E63" s="30"/>
      <c r="F63" s="30"/>
      <c r="G63" s="30"/>
      <c r="H63" s="30"/>
      <c r="I63" s="30"/>
      <c r="J63" s="30"/>
      <c r="K63" s="30"/>
      <c r="L63" s="30"/>
      <c r="M63" s="30"/>
      <c r="N63" s="30"/>
      <c r="O63" s="30"/>
      <c r="P63" s="30"/>
      <c r="Q63" s="30"/>
      <c r="R63" s="30"/>
      <c r="S63" s="30"/>
      <c r="T63" s="30"/>
      <c r="U63" s="30"/>
    </row>
    <row r="64" spans="1:22" ht="14.45" customHeight="1">
      <c r="B64" s="347" t="s">
        <v>60</v>
      </c>
      <c r="C64" s="347"/>
      <c r="D64" s="365" t="s">
        <v>867</v>
      </c>
      <c r="E64" s="366"/>
      <c r="F64" s="365" t="s">
        <v>868</v>
      </c>
      <c r="G64" s="366"/>
      <c r="H64" s="365" t="str">
        <f>[1]COVER!G201</f>
        <v>Material</v>
      </c>
      <c r="I64" s="366"/>
      <c r="J64" s="346" t="s">
        <v>680</v>
      </c>
      <c r="K64" s="369"/>
      <c r="L64" s="370" t="s">
        <v>875</v>
      </c>
      <c r="M64" s="370"/>
      <c r="N64" s="370"/>
      <c r="O64" s="370"/>
      <c r="P64" s="345" t="s">
        <v>681</v>
      </c>
      <c r="Q64" s="345"/>
      <c r="R64" s="345"/>
      <c r="S64" s="346" t="s">
        <v>679</v>
      </c>
      <c r="T64" s="346"/>
      <c r="U64" s="346"/>
    </row>
    <row r="65" spans="2:21" ht="23.25" customHeight="1">
      <c r="B65" s="347"/>
      <c r="C65" s="347"/>
      <c r="D65" s="367"/>
      <c r="E65" s="368"/>
      <c r="F65" s="367"/>
      <c r="G65" s="368"/>
      <c r="H65" s="367"/>
      <c r="I65" s="368"/>
      <c r="J65" s="369"/>
      <c r="K65" s="369"/>
      <c r="L65" s="370"/>
      <c r="M65" s="370"/>
      <c r="N65" s="370"/>
      <c r="O65" s="370"/>
      <c r="P65" s="345"/>
      <c r="Q65" s="345"/>
      <c r="R65" s="345"/>
      <c r="S65" s="346"/>
      <c r="T65" s="346"/>
      <c r="U65" s="346"/>
    </row>
    <row r="66" spans="2:21" ht="15">
      <c r="B66" s="177" t="s">
        <v>448</v>
      </c>
      <c r="C66" s="177"/>
      <c r="D66" s="183">
        <f>Q39</f>
        <v>8</v>
      </c>
      <c r="E66" s="185"/>
      <c r="F66" s="183" t="s">
        <v>869</v>
      </c>
      <c r="G66" s="185"/>
      <c r="H66" s="183" t="str">
        <f>COVER!F228</f>
        <v>A-283 GR.C</v>
      </c>
      <c r="I66" s="185"/>
      <c r="J66" s="177" t="s">
        <v>716</v>
      </c>
      <c r="K66" s="177"/>
      <c r="L66" s="342">
        <f>(0.714*D66)-(16.286)</f>
        <v>-10.574000000000002</v>
      </c>
      <c r="M66" s="343"/>
      <c r="N66" s="343"/>
      <c r="O66" s="344"/>
      <c r="P66" s="177">
        <v>5</v>
      </c>
      <c r="Q66" s="177"/>
      <c r="R66" s="177"/>
      <c r="S66" s="341" t="str">
        <f>IF(P66&lt;L66,"Requirement","Not Requirement")</f>
        <v>Not Requirement</v>
      </c>
      <c r="T66" s="341"/>
      <c r="U66" s="341"/>
    </row>
    <row r="67" spans="2:21" ht="15">
      <c r="B67" s="177" t="s">
        <v>449</v>
      </c>
      <c r="C67" s="177"/>
      <c r="D67" s="183">
        <f t="shared" ref="D67:D71" si="9">Q40</f>
        <v>8</v>
      </c>
      <c r="E67" s="185"/>
      <c r="F67" s="183" t="s">
        <v>870</v>
      </c>
      <c r="G67" s="185"/>
      <c r="H67" s="183" t="str">
        <f>COVER!F229</f>
        <v>A-283 GR.C</v>
      </c>
      <c r="I67" s="185"/>
      <c r="J67" s="177" t="str">
        <f>J66</f>
        <v>I</v>
      </c>
      <c r="K67" s="177"/>
      <c r="L67" s="342">
        <f t="shared" ref="L67:L71" si="10">(0.714*D67)-(16.286)</f>
        <v>-10.574000000000002</v>
      </c>
      <c r="M67" s="343"/>
      <c r="N67" s="343"/>
      <c r="O67" s="344"/>
      <c r="P67" s="177">
        <v>5</v>
      </c>
      <c r="Q67" s="177"/>
      <c r="R67" s="177"/>
      <c r="S67" s="341" t="str">
        <f t="shared" ref="S67:S70" si="11">IF(P67&lt;L67,"Requirement","Not Requirement")</f>
        <v>Not Requirement</v>
      </c>
      <c r="T67" s="341"/>
      <c r="U67" s="341"/>
    </row>
    <row r="68" spans="2:21" ht="15">
      <c r="B68" s="177" t="s">
        <v>450</v>
      </c>
      <c r="C68" s="177"/>
      <c r="D68" s="183">
        <f t="shared" si="9"/>
        <v>6</v>
      </c>
      <c r="E68" s="185"/>
      <c r="F68" s="183" t="s">
        <v>871</v>
      </c>
      <c r="G68" s="185"/>
      <c r="H68" s="183" t="str">
        <f>COVER!F230</f>
        <v>A-283 GR.C</v>
      </c>
      <c r="I68" s="185"/>
      <c r="J68" s="177" t="str">
        <f t="shared" ref="J68:J71" si="12">J67</f>
        <v>I</v>
      </c>
      <c r="K68" s="177"/>
      <c r="L68" s="342">
        <f t="shared" si="10"/>
        <v>-12.002000000000002</v>
      </c>
      <c r="M68" s="343"/>
      <c r="N68" s="343"/>
      <c r="O68" s="344"/>
      <c r="P68" s="177">
        <v>5</v>
      </c>
      <c r="Q68" s="177"/>
      <c r="R68" s="177"/>
      <c r="S68" s="341" t="str">
        <f t="shared" si="11"/>
        <v>Not Requirement</v>
      </c>
      <c r="T68" s="341"/>
      <c r="U68" s="341"/>
    </row>
    <row r="69" spans="2:21" ht="15">
      <c r="B69" s="177" t="s">
        <v>451</v>
      </c>
      <c r="C69" s="177"/>
      <c r="D69" s="183">
        <f t="shared" si="9"/>
        <v>6</v>
      </c>
      <c r="E69" s="185"/>
      <c r="F69" s="183" t="s">
        <v>872</v>
      </c>
      <c r="G69" s="185"/>
      <c r="H69" s="183" t="str">
        <f>COVER!F231</f>
        <v>A-283 GR.C</v>
      </c>
      <c r="I69" s="185"/>
      <c r="J69" s="177" t="str">
        <f t="shared" si="12"/>
        <v>I</v>
      </c>
      <c r="K69" s="177"/>
      <c r="L69" s="342">
        <f t="shared" si="10"/>
        <v>-12.002000000000002</v>
      </c>
      <c r="M69" s="343"/>
      <c r="N69" s="343"/>
      <c r="O69" s="344"/>
      <c r="P69" s="177">
        <v>5</v>
      </c>
      <c r="Q69" s="177"/>
      <c r="R69" s="177"/>
      <c r="S69" s="341" t="str">
        <f t="shared" si="11"/>
        <v>Not Requirement</v>
      </c>
      <c r="T69" s="341"/>
      <c r="U69" s="341"/>
    </row>
    <row r="70" spans="2:21" ht="15">
      <c r="B70" s="177" t="s">
        <v>452</v>
      </c>
      <c r="C70" s="177"/>
      <c r="D70" s="183">
        <f t="shared" si="9"/>
        <v>6</v>
      </c>
      <c r="E70" s="185"/>
      <c r="F70" s="183" t="s">
        <v>873</v>
      </c>
      <c r="G70" s="185"/>
      <c r="H70" s="183" t="str">
        <f>COVER!F232</f>
        <v>A-283 GR.C</v>
      </c>
      <c r="I70" s="185"/>
      <c r="J70" s="177" t="str">
        <f t="shared" si="12"/>
        <v>I</v>
      </c>
      <c r="K70" s="177"/>
      <c r="L70" s="342">
        <f t="shared" si="10"/>
        <v>-12.002000000000002</v>
      </c>
      <c r="M70" s="343"/>
      <c r="N70" s="343"/>
      <c r="O70" s="344"/>
      <c r="P70" s="177">
        <v>5</v>
      </c>
      <c r="Q70" s="177"/>
      <c r="R70" s="177"/>
      <c r="S70" s="341" t="str">
        <f t="shared" si="11"/>
        <v>Not Requirement</v>
      </c>
      <c r="T70" s="341"/>
      <c r="U70" s="341"/>
    </row>
    <row r="71" spans="2:21" ht="15">
      <c r="B71" s="177" t="s">
        <v>505</v>
      </c>
      <c r="C71" s="177"/>
      <c r="D71" s="183">
        <f t="shared" si="9"/>
        <v>6</v>
      </c>
      <c r="E71" s="185"/>
      <c r="F71" s="183" t="s">
        <v>874</v>
      </c>
      <c r="G71" s="185"/>
      <c r="H71" s="183" t="str">
        <f>COVER!F233</f>
        <v>A-283 GR.C</v>
      </c>
      <c r="I71" s="185"/>
      <c r="J71" s="177" t="str">
        <f t="shared" si="12"/>
        <v>I</v>
      </c>
      <c r="K71" s="177"/>
      <c r="L71" s="342">
        <f t="shared" si="10"/>
        <v>-12.002000000000002</v>
      </c>
      <c r="M71" s="343"/>
      <c r="N71" s="343"/>
      <c r="O71" s="344"/>
      <c r="P71" s="177">
        <v>5</v>
      </c>
      <c r="Q71" s="177"/>
      <c r="R71" s="177"/>
      <c r="S71" s="341" t="str">
        <f t="shared" ref="S71" si="13">IF(P71&lt;L71,"Requirement","Not Requirement")</f>
        <v>Not Requirement</v>
      </c>
      <c r="T71" s="341"/>
      <c r="U71" s="341"/>
    </row>
    <row r="72" spans="2:21" ht="15">
      <c r="B72" s="30"/>
      <c r="C72" s="30"/>
      <c r="D72" s="30"/>
      <c r="E72" s="30"/>
      <c r="F72" s="30"/>
      <c r="G72" s="30"/>
      <c r="H72" s="30"/>
      <c r="I72" s="30"/>
      <c r="J72" s="30"/>
      <c r="K72" s="30"/>
      <c r="L72" s="30"/>
      <c r="M72" s="30"/>
      <c r="N72" s="30"/>
      <c r="O72" s="30"/>
      <c r="P72" s="30"/>
      <c r="Q72" s="30"/>
      <c r="R72" s="30"/>
      <c r="S72" s="30"/>
      <c r="T72" s="30"/>
      <c r="U72" s="30"/>
    </row>
    <row r="73" spans="2:21" ht="15">
      <c r="B73" s="30"/>
      <c r="C73" s="30"/>
      <c r="D73" s="30"/>
      <c r="E73" s="30"/>
      <c r="F73" s="30"/>
      <c r="G73" s="30"/>
      <c r="H73" s="30"/>
      <c r="I73" s="30"/>
      <c r="J73" s="30"/>
      <c r="K73" s="30"/>
      <c r="L73" s="30"/>
      <c r="M73" s="30"/>
      <c r="N73" s="30"/>
      <c r="O73" s="30"/>
      <c r="P73" s="30"/>
      <c r="Q73" s="30"/>
      <c r="R73" s="30"/>
      <c r="S73" s="30"/>
      <c r="T73" s="30"/>
      <c r="U73" s="30"/>
    </row>
    <row r="74" spans="2:21" ht="15">
      <c r="B74" s="30"/>
      <c r="C74" s="30"/>
      <c r="D74" s="30"/>
      <c r="E74" s="30"/>
      <c r="F74" s="30"/>
      <c r="G74" s="30"/>
      <c r="H74" s="30"/>
      <c r="I74" s="30"/>
      <c r="J74" s="30"/>
      <c r="K74" s="30"/>
      <c r="L74" s="30"/>
      <c r="M74" s="30"/>
      <c r="N74" s="30"/>
      <c r="O74" s="30"/>
      <c r="P74" s="30"/>
      <c r="Q74" s="30"/>
      <c r="R74" s="30"/>
      <c r="S74" s="30"/>
      <c r="T74" s="30"/>
      <c r="U74" s="30"/>
    </row>
    <row r="75" spans="2:21" ht="15">
      <c r="B75" s="30"/>
      <c r="C75" s="30"/>
      <c r="D75" s="30"/>
      <c r="E75" s="30"/>
      <c r="F75" s="30"/>
      <c r="G75" s="30"/>
      <c r="H75" s="30"/>
      <c r="I75" s="30"/>
      <c r="J75" s="30"/>
      <c r="K75" s="30"/>
      <c r="L75" s="30"/>
      <c r="M75" s="30"/>
      <c r="N75" s="30"/>
      <c r="O75" s="30"/>
      <c r="P75" s="30"/>
      <c r="Q75" s="30"/>
      <c r="R75" s="30"/>
      <c r="S75" s="30"/>
      <c r="T75" s="30"/>
      <c r="U75" s="30"/>
    </row>
    <row r="76" spans="2:21" ht="15">
      <c r="B76" s="30"/>
      <c r="C76" s="30"/>
      <c r="D76" s="30"/>
      <c r="E76" s="30"/>
      <c r="F76" s="30"/>
      <c r="G76" s="30"/>
      <c r="H76" s="30"/>
      <c r="I76" s="30"/>
      <c r="J76" s="30"/>
      <c r="K76" s="30"/>
      <c r="L76" s="30"/>
      <c r="M76" s="30"/>
      <c r="N76" s="30"/>
      <c r="O76" s="30"/>
      <c r="P76" s="30"/>
      <c r="Q76" s="30"/>
      <c r="R76" s="30"/>
      <c r="S76" s="30"/>
      <c r="T76" s="30"/>
      <c r="U76" s="30"/>
    </row>
    <row r="77" spans="2:21" ht="15">
      <c r="B77" s="30"/>
      <c r="C77" s="30"/>
      <c r="D77" s="30"/>
      <c r="E77" s="30"/>
      <c r="F77" s="30"/>
      <c r="G77" s="30"/>
      <c r="H77" s="30"/>
      <c r="I77" s="30"/>
      <c r="J77" s="30"/>
      <c r="K77" s="30"/>
      <c r="L77" s="30"/>
      <c r="M77" s="30"/>
      <c r="N77" s="30"/>
      <c r="O77" s="30"/>
      <c r="P77" s="30"/>
      <c r="Q77" s="30"/>
      <c r="R77" s="30"/>
      <c r="S77" s="30"/>
      <c r="T77" s="30"/>
      <c r="U77" s="30"/>
    </row>
    <row r="78" spans="2:21" ht="15">
      <c r="B78" s="30"/>
      <c r="C78" s="30"/>
      <c r="D78" s="30"/>
      <c r="E78" s="30"/>
      <c r="F78" s="30"/>
      <c r="G78" s="30"/>
      <c r="H78" s="30"/>
      <c r="I78" s="30"/>
      <c r="J78" s="30"/>
      <c r="K78" s="30"/>
      <c r="L78" s="30"/>
      <c r="M78" s="30"/>
      <c r="N78" s="30"/>
      <c r="O78" s="30"/>
      <c r="P78" s="30"/>
      <c r="Q78" s="30"/>
      <c r="R78" s="30"/>
      <c r="S78" s="30"/>
      <c r="T78" s="30"/>
      <c r="U78" s="30"/>
    </row>
    <row r="79" spans="2:21" ht="15">
      <c r="B79" s="30"/>
      <c r="C79" s="30"/>
      <c r="D79" s="30"/>
      <c r="E79" s="30"/>
      <c r="F79" s="30"/>
      <c r="G79" s="30"/>
      <c r="H79" s="30"/>
      <c r="I79" s="30"/>
      <c r="J79" s="30"/>
      <c r="K79" s="30"/>
      <c r="L79" s="30"/>
      <c r="M79" s="30"/>
      <c r="N79" s="30"/>
      <c r="O79" s="30"/>
      <c r="P79" s="30"/>
      <c r="Q79" s="30"/>
      <c r="R79" s="30"/>
      <c r="S79" s="30"/>
      <c r="T79" s="30"/>
      <c r="U79" s="30"/>
    </row>
    <row r="80" spans="2:21" ht="15">
      <c r="B80" s="30"/>
      <c r="C80" s="30"/>
      <c r="D80" s="30"/>
      <c r="E80" s="30"/>
      <c r="F80" s="30"/>
      <c r="G80" s="30"/>
      <c r="H80" s="30"/>
      <c r="I80" s="30"/>
      <c r="J80" s="30"/>
      <c r="K80" s="30"/>
      <c r="L80" s="30"/>
      <c r="M80" s="30"/>
      <c r="N80" s="30"/>
      <c r="O80" s="30"/>
      <c r="P80" s="30"/>
      <c r="Q80" s="30"/>
      <c r="R80" s="30"/>
      <c r="S80" s="30"/>
      <c r="T80" s="30"/>
      <c r="U80" s="30"/>
    </row>
    <row r="81" spans="2:21" ht="15">
      <c r="B81" s="30"/>
      <c r="C81" s="30"/>
      <c r="D81" s="30"/>
      <c r="E81" s="30"/>
      <c r="F81" s="30"/>
      <c r="G81" s="30"/>
      <c r="H81" s="30"/>
      <c r="I81" s="30"/>
      <c r="J81" s="30"/>
      <c r="K81" s="30"/>
      <c r="L81" s="30"/>
      <c r="M81" s="30"/>
      <c r="N81" s="30"/>
      <c r="O81" s="30"/>
      <c r="P81" s="30"/>
      <c r="Q81" s="30"/>
      <c r="R81" s="30"/>
      <c r="S81" s="30"/>
      <c r="T81" s="30"/>
      <c r="U81" s="30"/>
    </row>
    <row r="82" spans="2:21" ht="15">
      <c r="B82" s="30"/>
      <c r="C82" s="30"/>
      <c r="D82" s="30"/>
      <c r="E82" s="30"/>
      <c r="F82" s="30"/>
      <c r="G82" s="30"/>
      <c r="H82" s="30"/>
      <c r="I82" s="30"/>
      <c r="J82" s="30"/>
      <c r="K82" s="30"/>
      <c r="L82" s="30"/>
      <c r="M82" s="30"/>
      <c r="N82" s="30"/>
      <c r="O82" s="30"/>
      <c r="P82" s="30"/>
      <c r="Q82" s="30"/>
      <c r="R82" s="30"/>
      <c r="S82" s="30"/>
      <c r="T82" s="30"/>
      <c r="U82" s="30"/>
    </row>
    <row r="83" spans="2:21" ht="15">
      <c r="B83" s="30"/>
      <c r="C83" s="30"/>
      <c r="D83" s="30"/>
      <c r="E83" s="30"/>
      <c r="F83" s="30"/>
      <c r="G83" s="30"/>
      <c r="H83" s="30"/>
      <c r="I83" s="30"/>
      <c r="J83" s="30"/>
      <c r="K83" s="30"/>
      <c r="L83" s="30"/>
      <c r="M83" s="30"/>
      <c r="N83" s="30"/>
      <c r="O83" s="30"/>
      <c r="P83" s="30"/>
      <c r="Q83" s="30"/>
      <c r="R83" s="30"/>
      <c r="S83" s="30"/>
      <c r="T83" s="30"/>
      <c r="U83" s="30"/>
    </row>
    <row r="84" spans="2:21" ht="15">
      <c r="B84" s="30"/>
      <c r="C84" s="30"/>
      <c r="D84" s="30"/>
      <c r="E84" s="30"/>
      <c r="F84" s="30"/>
      <c r="G84" s="30"/>
      <c r="H84" s="30"/>
      <c r="I84" s="30"/>
      <c r="J84" s="30"/>
      <c r="K84" s="30"/>
      <c r="L84" s="30"/>
      <c r="M84" s="30"/>
      <c r="N84" s="30"/>
      <c r="O84" s="30"/>
      <c r="P84" s="30"/>
      <c r="Q84" s="30"/>
      <c r="R84" s="30"/>
      <c r="S84" s="30"/>
      <c r="T84" s="30"/>
      <c r="U84" s="30"/>
    </row>
    <row r="85" spans="2:21" ht="405">
      <c r="B85" s="30"/>
      <c r="C85" s="30"/>
      <c r="D85" s="30"/>
      <c r="E85" s="30"/>
      <c r="F85" s="156" t="s">
        <v>886</v>
      </c>
      <c r="G85" s="30"/>
      <c r="H85" s="30"/>
      <c r="I85" s="30"/>
      <c r="J85" s="30"/>
      <c r="K85" s="30"/>
      <c r="L85" s="30"/>
      <c r="M85" s="30"/>
      <c r="N85" s="30"/>
      <c r="O85" s="30"/>
      <c r="P85" s="30"/>
      <c r="Q85" s="30"/>
      <c r="R85" s="30"/>
      <c r="S85" s="30"/>
      <c r="T85" s="30"/>
      <c r="U85" s="30"/>
    </row>
    <row r="86" spans="2:21" ht="15">
      <c r="B86" s="30"/>
      <c r="C86" s="30"/>
      <c r="D86" s="30"/>
      <c r="E86" s="30"/>
      <c r="F86" s="30"/>
      <c r="G86" s="30"/>
      <c r="H86" s="30"/>
      <c r="I86" s="30"/>
      <c r="J86" s="30"/>
      <c r="K86" s="30"/>
      <c r="L86" s="30"/>
      <c r="M86" s="30"/>
      <c r="N86" s="30"/>
      <c r="O86" s="30"/>
      <c r="P86" s="30"/>
      <c r="Q86" s="30"/>
      <c r="R86" s="30"/>
      <c r="S86" s="30"/>
      <c r="T86" s="30"/>
      <c r="U86" s="30"/>
    </row>
    <row r="87" spans="2:21" ht="15">
      <c r="B87" s="30"/>
      <c r="C87" s="30"/>
      <c r="D87" s="30"/>
      <c r="E87" s="30"/>
      <c r="F87" s="30"/>
      <c r="G87" s="30"/>
      <c r="H87" s="30"/>
      <c r="I87" s="30"/>
      <c r="J87" s="30"/>
      <c r="K87" s="30"/>
      <c r="L87" s="30"/>
      <c r="M87" s="30"/>
      <c r="N87" s="30"/>
      <c r="O87" s="30"/>
      <c r="P87" s="30"/>
      <c r="Q87" s="30"/>
      <c r="R87" s="30"/>
      <c r="S87" s="30"/>
      <c r="T87" s="30"/>
      <c r="U87" s="30"/>
    </row>
    <row r="88" spans="2:21" ht="15">
      <c r="B88" s="30"/>
      <c r="C88" s="30"/>
      <c r="D88" s="30"/>
      <c r="E88" s="30"/>
      <c r="F88" s="30"/>
      <c r="G88" s="30"/>
      <c r="H88" s="30"/>
      <c r="I88" s="30"/>
      <c r="J88" s="30"/>
      <c r="K88" s="30"/>
      <c r="L88" s="30"/>
      <c r="M88" s="30"/>
      <c r="N88" s="30"/>
      <c r="O88" s="30"/>
      <c r="P88" s="30"/>
      <c r="Q88" s="30"/>
      <c r="R88" s="30"/>
      <c r="S88" s="30"/>
      <c r="T88" s="30"/>
      <c r="U88" s="30"/>
    </row>
    <row r="89" spans="2:21" ht="15">
      <c r="B89" s="30"/>
      <c r="C89" s="30"/>
      <c r="D89" s="30"/>
      <c r="E89" s="30"/>
      <c r="F89" s="30"/>
      <c r="G89" s="30"/>
      <c r="H89" s="30"/>
      <c r="I89" s="30"/>
      <c r="J89" s="30"/>
      <c r="K89" s="30"/>
      <c r="L89" s="30"/>
      <c r="M89" s="30"/>
      <c r="N89" s="30"/>
      <c r="O89" s="30"/>
      <c r="P89" s="30"/>
      <c r="Q89" s="30"/>
      <c r="R89" s="30"/>
      <c r="S89" s="30"/>
      <c r="T89" s="30"/>
      <c r="U89" s="30"/>
    </row>
    <row r="90" spans="2:21" ht="15">
      <c r="B90" s="30"/>
      <c r="C90" s="30"/>
      <c r="D90" s="30"/>
      <c r="E90" s="30"/>
      <c r="F90" s="30"/>
      <c r="G90" s="30"/>
      <c r="H90" s="30"/>
      <c r="I90" s="30"/>
      <c r="J90" s="30"/>
      <c r="K90" s="30"/>
      <c r="L90" s="30"/>
      <c r="M90" s="30"/>
      <c r="N90" s="30"/>
      <c r="O90" s="30"/>
      <c r="P90" s="30"/>
      <c r="Q90" s="30"/>
      <c r="R90" s="30"/>
      <c r="S90" s="30"/>
      <c r="T90" s="30"/>
      <c r="U90" s="30"/>
    </row>
    <row r="91" spans="2:21" ht="15">
      <c r="B91" s="30"/>
      <c r="C91" s="30"/>
      <c r="D91" s="30"/>
      <c r="E91" s="30"/>
      <c r="F91" s="30"/>
      <c r="G91" s="30"/>
      <c r="H91" s="30"/>
      <c r="I91" s="30"/>
      <c r="J91" s="30"/>
      <c r="K91" s="30"/>
      <c r="L91" s="30"/>
      <c r="M91" s="30"/>
      <c r="N91" s="30"/>
      <c r="O91" s="30"/>
      <c r="P91" s="30"/>
      <c r="Q91" s="30"/>
      <c r="R91" s="30"/>
      <c r="S91" s="30"/>
      <c r="T91" s="30"/>
      <c r="U91" s="30"/>
    </row>
    <row r="92" spans="2:21" ht="15">
      <c r="B92" s="30"/>
      <c r="C92" s="30"/>
      <c r="D92" s="30"/>
      <c r="E92" s="30"/>
      <c r="F92" s="30"/>
      <c r="G92" s="30"/>
      <c r="H92" s="30"/>
      <c r="I92" s="30"/>
      <c r="J92" s="30"/>
      <c r="K92" s="30"/>
      <c r="L92" s="30"/>
      <c r="M92" s="30"/>
      <c r="N92" s="30"/>
      <c r="O92" s="30"/>
      <c r="P92" s="30"/>
      <c r="Q92" s="30"/>
      <c r="R92" s="30"/>
      <c r="S92" s="30"/>
      <c r="T92" s="30"/>
      <c r="U92" s="30"/>
    </row>
    <row r="93" spans="2:21" ht="15">
      <c r="B93" s="30"/>
      <c r="C93" s="30"/>
      <c r="D93" s="30"/>
      <c r="E93" s="30"/>
      <c r="F93" s="30"/>
      <c r="G93" s="30"/>
      <c r="H93" s="30"/>
      <c r="I93" s="30"/>
      <c r="J93" s="30"/>
      <c r="K93" s="30"/>
      <c r="L93" s="30"/>
      <c r="M93" s="30"/>
      <c r="N93" s="30"/>
      <c r="O93" s="30"/>
      <c r="P93" s="30"/>
      <c r="Q93" s="30"/>
      <c r="R93" s="30"/>
      <c r="S93" s="30"/>
      <c r="T93" s="30"/>
      <c r="U93" s="30"/>
    </row>
    <row r="94" spans="2:21" ht="15">
      <c r="B94" s="30"/>
      <c r="C94" s="30"/>
      <c r="D94" s="30"/>
      <c r="E94" s="30"/>
      <c r="F94" s="30"/>
      <c r="G94" s="30"/>
      <c r="H94" s="30"/>
      <c r="I94" s="30"/>
      <c r="J94" s="30"/>
      <c r="K94" s="30"/>
      <c r="L94" s="30"/>
      <c r="M94" s="30"/>
      <c r="N94" s="30"/>
      <c r="O94" s="30"/>
      <c r="P94" s="30"/>
      <c r="Q94" s="30"/>
      <c r="R94" s="30"/>
      <c r="S94" s="30"/>
      <c r="T94" s="30"/>
      <c r="U94" s="30"/>
    </row>
    <row r="95" spans="2:21" ht="15">
      <c r="B95" s="30"/>
      <c r="C95" s="30"/>
      <c r="D95" s="30"/>
      <c r="E95" s="30"/>
      <c r="F95" s="30"/>
      <c r="G95" s="30"/>
      <c r="H95" s="30"/>
      <c r="I95" s="30"/>
      <c r="J95" s="30"/>
      <c r="K95" s="30"/>
      <c r="L95" s="30"/>
      <c r="M95" s="30"/>
      <c r="N95" s="30"/>
      <c r="O95" s="30"/>
      <c r="P95" s="30"/>
      <c r="Q95" s="30"/>
      <c r="R95" s="30"/>
      <c r="S95" s="30"/>
      <c r="T95" s="30"/>
      <c r="U95" s="30"/>
    </row>
    <row r="96" spans="2:21" ht="15">
      <c r="B96" s="30"/>
      <c r="C96" s="30"/>
      <c r="D96" s="30"/>
      <c r="E96" s="30"/>
      <c r="F96" s="30"/>
      <c r="G96" s="30"/>
      <c r="H96" s="30"/>
      <c r="I96" s="30"/>
      <c r="J96" s="30"/>
      <c r="K96" s="30"/>
      <c r="L96" s="30"/>
      <c r="M96" s="30"/>
      <c r="N96" s="30"/>
      <c r="O96" s="30"/>
      <c r="P96" s="30"/>
      <c r="Q96" s="30"/>
      <c r="R96" s="30"/>
      <c r="S96" s="30"/>
      <c r="T96" s="30"/>
      <c r="U96" s="30"/>
    </row>
    <row r="133" spans="6:6" ht="384.75">
      <c r="F133" s="155" t="s">
        <v>886</v>
      </c>
    </row>
    <row r="190" spans="6:6" ht="384.75">
      <c r="F190" s="155" t="s">
        <v>886</v>
      </c>
    </row>
  </sheetData>
  <mergeCells count="187">
    <mergeCell ref="S52:U52"/>
    <mergeCell ref="D64:E65"/>
    <mergeCell ref="D66:E66"/>
    <mergeCell ref="D67:E67"/>
    <mergeCell ref="D68:E68"/>
    <mergeCell ref="D69:E69"/>
    <mergeCell ref="D70:E70"/>
    <mergeCell ref="D71:E71"/>
    <mergeCell ref="H66:I66"/>
    <mergeCell ref="H67:I67"/>
    <mergeCell ref="H68:I68"/>
    <mergeCell ref="H69:I69"/>
    <mergeCell ref="H70:I70"/>
    <mergeCell ref="H71:I71"/>
    <mergeCell ref="H64:I65"/>
    <mergeCell ref="F64:G65"/>
    <mergeCell ref="F66:G66"/>
    <mergeCell ref="F67:G67"/>
    <mergeCell ref="F68:G68"/>
    <mergeCell ref="F69:G69"/>
    <mergeCell ref="F70:G70"/>
    <mergeCell ref="F71:G71"/>
    <mergeCell ref="J64:K65"/>
    <mergeCell ref="L64:O65"/>
    <mergeCell ref="B69:C69"/>
    <mergeCell ref="J69:K69"/>
    <mergeCell ref="L69:O69"/>
    <mergeCell ref="P69:R69"/>
    <mergeCell ref="S69:U69"/>
    <mergeCell ref="M37:N38"/>
    <mergeCell ref="M39:N39"/>
    <mergeCell ref="M40:N40"/>
    <mergeCell ref="M41:N41"/>
    <mergeCell ref="M42:N42"/>
    <mergeCell ref="M43:N43"/>
    <mergeCell ref="M44:N44"/>
    <mergeCell ref="M45:N45"/>
    <mergeCell ref="M46:N46"/>
    <mergeCell ref="O37:P38"/>
    <mergeCell ref="O39:P39"/>
    <mergeCell ref="O40:P40"/>
    <mergeCell ref="O41:P41"/>
    <mergeCell ref="O42:P42"/>
    <mergeCell ref="O43:P43"/>
    <mergeCell ref="O44:P44"/>
    <mergeCell ref="O45:P45"/>
    <mergeCell ref="S50:U50"/>
    <mergeCell ref="Q44:R44"/>
    <mergeCell ref="B18:H19"/>
    <mergeCell ref="T59:T60"/>
    <mergeCell ref="A53:E58"/>
    <mergeCell ref="R53:V58"/>
    <mergeCell ref="F58:Q58"/>
    <mergeCell ref="F53:Q57"/>
    <mergeCell ref="A59:E59"/>
    <mergeCell ref="G59:H59"/>
    <mergeCell ref="B43:C43"/>
    <mergeCell ref="D43:F43"/>
    <mergeCell ref="G46:I46"/>
    <mergeCell ref="J46:L46"/>
    <mergeCell ref="O46:P46"/>
    <mergeCell ref="Q45:R45"/>
    <mergeCell ref="Q46:R46"/>
    <mergeCell ref="D44:F44"/>
    <mergeCell ref="G44:I44"/>
    <mergeCell ref="J44:L44"/>
    <mergeCell ref="I59:J59"/>
    <mergeCell ref="K59:L59"/>
    <mergeCell ref="N59:O59"/>
    <mergeCell ref="R59:R60"/>
    <mergeCell ref="S59:S60"/>
    <mergeCell ref="Q43:R43"/>
    <mergeCell ref="K20:L20"/>
    <mergeCell ref="K21:L21"/>
    <mergeCell ref="K22:L22"/>
    <mergeCell ref="B33:K34"/>
    <mergeCell ref="B37:C38"/>
    <mergeCell ref="D37:F38"/>
    <mergeCell ref="G37:I38"/>
    <mergeCell ref="J37:L38"/>
    <mergeCell ref="I20:J20"/>
    <mergeCell ref="I21:J21"/>
    <mergeCell ref="I22:J22"/>
    <mergeCell ref="B47:R47"/>
    <mergeCell ref="B42:C42"/>
    <mergeCell ref="B39:C39"/>
    <mergeCell ref="D39:F39"/>
    <mergeCell ref="B40:C40"/>
    <mergeCell ref="B45:C45"/>
    <mergeCell ref="D45:F45"/>
    <mergeCell ref="G45:I45"/>
    <mergeCell ref="J45:L45"/>
    <mergeCell ref="B46:C46"/>
    <mergeCell ref="D46:F46"/>
    <mergeCell ref="B44:C44"/>
    <mergeCell ref="G39:I39"/>
    <mergeCell ref="J39:L39"/>
    <mergeCell ref="D42:F42"/>
    <mergeCell ref="G42:I42"/>
    <mergeCell ref="J42:L42"/>
    <mergeCell ref="B12:U12"/>
    <mergeCell ref="B13:U13"/>
    <mergeCell ref="B14:U15"/>
    <mergeCell ref="I18:J18"/>
    <mergeCell ref="B9:G11"/>
    <mergeCell ref="K18:L18"/>
    <mergeCell ref="G43:I43"/>
    <mergeCell ref="J43:L43"/>
    <mergeCell ref="G41:I41"/>
    <mergeCell ref="J41:L41"/>
    <mergeCell ref="B41:C41"/>
    <mergeCell ref="D41:F41"/>
    <mergeCell ref="D40:F40"/>
    <mergeCell ref="G40:I40"/>
    <mergeCell ref="J40:L40"/>
    <mergeCell ref="B16:Q16"/>
    <mergeCell ref="B20:G24"/>
    <mergeCell ref="I19:J19"/>
    <mergeCell ref="Q37:R38"/>
    <mergeCell ref="Q39:R39"/>
    <mergeCell ref="Q40:R40"/>
    <mergeCell ref="Q41:R41"/>
    <mergeCell ref="Q42:R42"/>
    <mergeCell ref="K19:L19"/>
    <mergeCell ref="U59:V60"/>
    <mergeCell ref="A60:E60"/>
    <mergeCell ref="G60:H60"/>
    <mergeCell ref="I60:J60"/>
    <mergeCell ref="K60:L60"/>
    <mergeCell ref="N60:O60"/>
    <mergeCell ref="P67:R67"/>
    <mergeCell ref="S67:U67"/>
    <mergeCell ref="B68:C68"/>
    <mergeCell ref="J68:K68"/>
    <mergeCell ref="L68:O68"/>
    <mergeCell ref="P68:R68"/>
    <mergeCell ref="S68:U68"/>
    <mergeCell ref="B67:C67"/>
    <mergeCell ref="J67:K67"/>
    <mergeCell ref="L67:O67"/>
    <mergeCell ref="P64:R65"/>
    <mergeCell ref="S64:U65"/>
    <mergeCell ref="B66:C66"/>
    <mergeCell ref="J66:K66"/>
    <mergeCell ref="L66:O66"/>
    <mergeCell ref="P66:R66"/>
    <mergeCell ref="S66:U66"/>
    <mergeCell ref="B64:C65"/>
    <mergeCell ref="P71:R71"/>
    <mergeCell ref="S71:U71"/>
    <mergeCell ref="B71:C71"/>
    <mergeCell ref="J71:K71"/>
    <mergeCell ref="L71:O71"/>
    <mergeCell ref="B70:C70"/>
    <mergeCell ref="J70:K70"/>
    <mergeCell ref="L70:O70"/>
    <mergeCell ref="P70:R70"/>
    <mergeCell ref="S70:U70"/>
    <mergeCell ref="F1:Q5"/>
    <mergeCell ref="A7:E7"/>
    <mergeCell ref="G7:H7"/>
    <mergeCell ref="I7:J7"/>
    <mergeCell ref="K7:L7"/>
    <mergeCell ref="N7:O7"/>
    <mergeCell ref="R7:R8"/>
    <mergeCell ref="S7:S8"/>
    <mergeCell ref="U7:V8"/>
    <mergeCell ref="A8:E8"/>
    <mergeCell ref="G8:H8"/>
    <mergeCell ref="I8:J8"/>
    <mergeCell ref="K8:L8"/>
    <mergeCell ref="N8:O8"/>
    <mergeCell ref="F6:Q6"/>
    <mergeCell ref="A1:E6"/>
    <mergeCell ref="R1:V6"/>
    <mergeCell ref="T7:T8"/>
    <mergeCell ref="U37:U38"/>
    <mergeCell ref="S47:T47"/>
    <mergeCell ref="S37:T38"/>
    <mergeCell ref="S39:T39"/>
    <mergeCell ref="S40:T40"/>
    <mergeCell ref="S41:T41"/>
    <mergeCell ref="S42:T42"/>
    <mergeCell ref="S43:T43"/>
    <mergeCell ref="S44:T44"/>
    <mergeCell ref="S45:T45"/>
    <mergeCell ref="S46:T46"/>
  </mergeCells>
  <phoneticPr fontId="43" type="noConversion"/>
  <conditionalFormatting sqref="S66:U71">
    <cfRule type="containsText" dxfId="72" priority="1" operator="containsText" text="Not Requirement">
      <formula>NOT(ISERROR(SEARCH("Not Requirement",S66)))</formula>
    </cfRule>
    <cfRule type="containsText" dxfId="71" priority="2" operator="containsText" text="REQUIREMENT">
      <formula>NOT(ISERROR(SEARCH("REQUIREMENT",S66)))</formula>
    </cfRule>
  </conditionalFormatting>
  <printOptions horizontalCentered="1"/>
  <pageMargins left="9.8425196850393706E-2" right="9.8425196850393706E-2" top="0.196850393700787" bottom="0" header="0.118110236220472" footer="0.118110236220472"/>
  <pageSetup paperSize="9" scale="78" orientation="portrait" r:id="rId1"/>
  <rowBreaks count="1" manualBreakCount="1">
    <brk id="52" max="2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V190"/>
  <sheetViews>
    <sheetView view="pageBreakPreview" topLeftCell="A229" zoomScaleNormal="100" zoomScaleSheetLayoutView="100" workbookViewId="0">
      <selection activeCell="F190" sqref="F190:Q194"/>
    </sheetView>
  </sheetViews>
  <sheetFormatPr defaultRowHeight="14.25"/>
  <cols>
    <col min="1"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2.9"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17.4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'Shell Plate Design '!R59</f>
        <v>29</v>
      </c>
      <c r="S7" s="174" t="s">
        <v>752</v>
      </c>
      <c r="T7" s="263">
        <f>'Shell Plate Design '!T59+1</f>
        <v>8</v>
      </c>
      <c r="U7" s="168" t="s">
        <v>753</v>
      </c>
      <c r="V7" s="188"/>
    </row>
    <row r="8" spans="1:22" ht="26.45"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'Shell Plate Design '!$Q$60</f>
        <v>V01</v>
      </c>
      <c r="R8" s="173"/>
      <c r="S8" s="175"/>
      <c r="T8" s="264"/>
      <c r="U8" s="189"/>
      <c r="V8" s="190"/>
    </row>
    <row r="9" spans="1:22" ht="15" customHeight="1">
      <c r="A9" s="30"/>
      <c r="B9" s="348" t="s">
        <v>526</v>
      </c>
      <c r="C9" s="348"/>
      <c r="D9" s="348"/>
      <c r="E9" s="348"/>
      <c r="F9" s="348"/>
      <c r="G9" s="348"/>
      <c r="H9" s="348"/>
      <c r="I9" s="348"/>
      <c r="J9" s="348"/>
      <c r="K9" s="348"/>
      <c r="L9" s="348"/>
      <c r="M9" s="348"/>
      <c r="N9" s="348"/>
      <c r="O9" s="30"/>
      <c r="P9" s="30"/>
      <c r="Q9" s="30"/>
      <c r="R9" s="30"/>
      <c r="S9" s="30"/>
      <c r="T9" s="30"/>
      <c r="U9" s="30"/>
    </row>
    <row r="10" spans="1:22" ht="15">
      <c r="A10" s="30"/>
      <c r="B10" s="348"/>
      <c r="C10" s="348"/>
      <c r="D10" s="348"/>
      <c r="E10" s="348"/>
      <c r="F10" s="348"/>
      <c r="G10" s="348"/>
      <c r="H10" s="348"/>
      <c r="I10" s="348"/>
      <c r="J10" s="348"/>
      <c r="K10" s="348"/>
      <c r="L10" s="348"/>
      <c r="M10" s="348"/>
      <c r="N10" s="348"/>
      <c r="O10" s="30"/>
      <c r="P10" s="30"/>
      <c r="Q10" s="30"/>
      <c r="R10" s="30"/>
      <c r="S10" s="30"/>
      <c r="T10" s="30"/>
      <c r="U10" s="30"/>
    </row>
    <row r="11" spans="1:22" ht="15">
      <c r="A11" s="30"/>
      <c r="B11" t="s">
        <v>702</v>
      </c>
      <c r="C11" s="32"/>
      <c r="D11" s="32"/>
      <c r="E11" s="32"/>
      <c r="F11" s="32"/>
      <c r="G11" s="32"/>
      <c r="H11" s="32"/>
      <c r="I11" s="32"/>
      <c r="J11" s="32"/>
      <c r="K11" s="32"/>
      <c r="L11" s="32"/>
      <c r="M11" s="32"/>
      <c r="N11" s="32"/>
      <c r="O11" s="30"/>
      <c r="P11" s="30"/>
      <c r="Q11" s="30"/>
      <c r="R11" s="30"/>
      <c r="S11" s="30"/>
      <c r="T11" s="30"/>
      <c r="U11" s="30"/>
    </row>
    <row r="12" spans="1:22" ht="15">
      <c r="A12" s="30"/>
      <c r="B12" t="s">
        <v>783</v>
      </c>
      <c r="C12" s="32"/>
      <c r="D12" s="32"/>
      <c r="E12" s="32"/>
      <c r="F12" s="26">
        <f>COVER!H168</f>
        <v>1.6</v>
      </c>
      <c r="G12" s="32" t="s">
        <v>29</v>
      </c>
      <c r="H12" s="32"/>
      <c r="I12" s="32"/>
      <c r="J12" s="32"/>
      <c r="K12" s="32"/>
      <c r="L12" s="32"/>
      <c r="M12" s="32"/>
      <c r="N12" s="32"/>
      <c r="O12" s="61"/>
      <c r="P12" s="30"/>
      <c r="Q12" s="30"/>
      <c r="R12" s="30"/>
      <c r="S12" s="30"/>
      <c r="T12" s="30"/>
      <c r="U12" s="30"/>
    </row>
    <row r="13" spans="1:22" ht="15">
      <c r="A13" s="30"/>
      <c r="B13" t="s">
        <v>784</v>
      </c>
      <c r="C13" s="32"/>
      <c r="D13" s="32"/>
      <c r="E13" s="32"/>
      <c r="F13" s="32"/>
      <c r="G13" s="32"/>
      <c r="H13" s="32"/>
      <c r="I13" s="32">
        <v>6</v>
      </c>
      <c r="J13" s="135" t="s">
        <v>785</v>
      </c>
      <c r="K13" s="26">
        <f>F12</f>
        <v>1.6</v>
      </c>
      <c r="L13" s="26" t="s">
        <v>523</v>
      </c>
      <c r="M13" s="26">
        <f>I13+K13</f>
        <v>7.6</v>
      </c>
      <c r="N13" s="26" t="s">
        <v>29</v>
      </c>
      <c r="O13" s="61"/>
      <c r="P13" s="30"/>
      <c r="Q13" s="30"/>
      <c r="R13" s="30"/>
      <c r="S13" s="30"/>
      <c r="T13" s="30"/>
      <c r="U13" s="30"/>
    </row>
    <row r="14" spans="1:22" ht="15">
      <c r="A14" s="30"/>
      <c r="C14" s="32"/>
      <c r="D14" s="32"/>
      <c r="E14" s="32"/>
      <c r="F14" s="32"/>
      <c r="G14" s="32"/>
      <c r="H14" s="32"/>
      <c r="I14" s="32"/>
      <c r="J14" s="32"/>
      <c r="K14" s="32"/>
      <c r="L14" s="32"/>
      <c r="M14" s="32"/>
      <c r="N14" s="32"/>
      <c r="O14" s="61"/>
      <c r="P14" s="30"/>
      <c r="Q14" s="30"/>
      <c r="R14" s="30"/>
      <c r="S14" s="377" t="s">
        <v>701</v>
      </c>
      <c r="T14" s="377"/>
      <c r="U14" s="30"/>
    </row>
    <row r="15" spans="1:22" ht="24.75" customHeight="1">
      <c r="A15" s="30"/>
      <c r="B15" s="271" t="s">
        <v>576</v>
      </c>
      <c r="C15" s="271"/>
      <c r="D15" s="271"/>
      <c r="E15" s="271"/>
      <c r="F15" s="26">
        <v>8</v>
      </c>
      <c r="G15" s="26" t="s">
        <v>29</v>
      </c>
      <c r="H15" s="66" t="s">
        <v>522</v>
      </c>
      <c r="I15" s="67" t="s">
        <v>527</v>
      </c>
      <c r="J15" s="32"/>
      <c r="K15" s="32"/>
      <c r="L15" s="32"/>
      <c r="M15" s="32"/>
      <c r="N15" s="32"/>
      <c r="O15" s="376">
        <f>COVER!H153+(2*2*25.4)+(2*'Shell Plate Design '!Q39)</f>
        <v>13117.6</v>
      </c>
      <c r="P15" s="376"/>
      <c r="Q15" s="31" t="s">
        <v>29</v>
      </c>
      <c r="R15" s="96" t="s">
        <v>93</v>
      </c>
      <c r="S15" s="375">
        <v>13120</v>
      </c>
      <c r="T15" s="375"/>
      <c r="U15" s="31" t="s">
        <v>29</v>
      </c>
    </row>
    <row r="16" spans="1:22" ht="15" customHeight="1">
      <c r="A16" s="157" t="s">
        <v>901</v>
      </c>
      <c r="B16" s="348" t="s">
        <v>636</v>
      </c>
      <c r="C16" s="348"/>
      <c r="D16" s="348"/>
      <c r="E16" s="348"/>
      <c r="F16" s="348"/>
      <c r="G16" s="348"/>
      <c r="H16" s="348"/>
      <c r="I16" s="348"/>
      <c r="J16" s="348"/>
      <c r="K16" s="32"/>
      <c r="L16" s="32"/>
      <c r="M16" s="32"/>
      <c r="N16" s="32"/>
      <c r="O16" s="32"/>
      <c r="P16" s="32"/>
      <c r="Q16" s="32"/>
      <c r="R16" s="32"/>
      <c r="S16" s="32"/>
      <c r="T16" s="32"/>
      <c r="U16" s="32"/>
    </row>
    <row r="17" spans="1:21" ht="15">
      <c r="A17" s="30"/>
      <c r="B17" s="348"/>
      <c r="C17" s="348"/>
      <c r="D17" s="348"/>
      <c r="E17" s="348"/>
      <c r="F17" s="348"/>
      <c r="G17" s="348"/>
      <c r="H17" s="348"/>
      <c r="I17" s="348"/>
      <c r="J17" s="348"/>
      <c r="K17" s="32"/>
      <c r="L17" s="32"/>
      <c r="M17" s="32"/>
      <c r="N17" s="32"/>
      <c r="O17" s="32"/>
      <c r="P17" s="32"/>
      <c r="Q17" s="32"/>
      <c r="R17" s="32"/>
      <c r="S17" s="32"/>
      <c r="T17" s="32"/>
      <c r="U17" s="32"/>
    </row>
    <row r="18" spans="1:21" ht="15">
      <c r="A18" s="30"/>
      <c r="B18" s="348" t="s">
        <v>637</v>
      </c>
      <c r="C18" s="348"/>
      <c r="D18" s="348"/>
      <c r="E18" s="348"/>
      <c r="F18" s="348"/>
      <c r="G18" s="348"/>
      <c r="H18" s="348"/>
      <c r="I18" s="348"/>
      <c r="J18" s="348"/>
      <c r="K18" s="348"/>
      <c r="L18" s="348"/>
      <c r="M18" s="348"/>
      <c r="N18" s="348"/>
      <c r="O18" s="348"/>
      <c r="P18" s="348"/>
      <c r="Q18" s="348"/>
      <c r="R18" s="348"/>
      <c r="S18" s="348"/>
      <c r="T18" s="32"/>
      <c r="U18" s="32"/>
    </row>
    <row r="19" spans="1:21" ht="15">
      <c r="A19" s="30"/>
      <c r="B19" s="348"/>
      <c r="C19" s="348"/>
      <c r="D19" s="348"/>
      <c r="E19" s="348"/>
      <c r="F19" s="348"/>
      <c r="G19" s="348"/>
      <c r="H19" s="348"/>
      <c r="I19" s="348"/>
      <c r="J19" s="348"/>
      <c r="K19" s="348"/>
      <c r="L19" s="348"/>
      <c r="M19" s="348"/>
      <c r="N19" s="348"/>
      <c r="O19" s="348"/>
      <c r="P19" s="348"/>
      <c r="Q19" s="348"/>
      <c r="R19" s="348"/>
      <c r="S19" s="348"/>
      <c r="T19" s="32"/>
      <c r="U19" s="32"/>
    </row>
    <row r="20" spans="1:21" ht="15">
      <c r="A20" s="30"/>
      <c r="B20" s="348"/>
      <c r="C20" s="348"/>
      <c r="D20" s="348"/>
      <c r="E20" s="348"/>
      <c r="F20" s="348"/>
      <c r="G20" s="348"/>
      <c r="H20" s="348"/>
      <c r="I20" s="348"/>
      <c r="J20" s="348"/>
      <c r="K20" s="348"/>
      <c r="L20" s="348"/>
      <c r="M20" s="348"/>
      <c r="N20" s="348"/>
      <c r="O20" s="348"/>
      <c r="P20" s="348"/>
      <c r="Q20" s="348"/>
      <c r="R20" s="348"/>
      <c r="S20" s="348"/>
      <c r="T20" s="32"/>
      <c r="U20" s="32"/>
    </row>
    <row r="21" spans="1:21" ht="15">
      <c r="A21" s="30"/>
      <c r="B21" s="348"/>
      <c r="C21" s="348"/>
      <c r="D21" s="348"/>
      <c r="E21" s="348"/>
      <c r="F21" s="348"/>
      <c r="G21" s="348"/>
      <c r="H21" s="348"/>
      <c r="I21" s="348"/>
      <c r="J21" s="348"/>
      <c r="K21" s="348"/>
      <c r="L21" s="348"/>
      <c r="M21" s="348"/>
      <c r="N21" s="348"/>
      <c r="O21" s="348"/>
      <c r="P21" s="348"/>
      <c r="Q21" s="348"/>
      <c r="R21" s="348"/>
      <c r="S21" s="348"/>
      <c r="T21" s="32"/>
      <c r="U21" s="32"/>
    </row>
    <row r="22" spans="1:21" ht="15">
      <c r="A22" s="30"/>
      <c r="B22" s="358" t="s">
        <v>72</v>
      </c>
      <c r="C22" s="358"/>
      <c r="D22" s="358"/>
      <c r="E22" s="358"/>
      <c r="F22" s="358"/>
      <c r="G22" s="358"/>
      <c r="H22" s="358"/>
      <c r="I22" s="358"/>
      <c r="J22" s="358"/>
      <c r="K22" s="358"/>
      <c r="L22" s="358"/>
      <c r="M22" s="30"/>
      <c r="N22" s="30"/>
      <c r="O22" s="30"/>
      <c r="P22" s="30"/>
      <c r="Q22" s="30"/>
      <c r="R22" s="30"/>
      <c r="S22" s="30"/>
      <c r="T22" s="30"/>
      <c r="U22" s="30"/>
    </row>
    <row r="23" spans="1:21" ht="15">
      <c r="A23" s="30"/>
      <c r="B23" s="358"/>
      <c r="C23" s="358"/>
      <c r="D23" s="358"/>
      <c r="E23" s="358"/>
      <c r="F23" s="358"/>
      <c r="G23" s="358"/>
      <c r="H23" s="358"/>
      <c r="I23" s="358"/>
      <c r="J23" s="358"/>
      <c r="K23" s="358"/>
      <c r="L23" s="358"/>
      <c r="M23" s="30"/>
      <c r="N23" s="30"/>
      <c r="O23" s="30"/>
      <c r="P23" s="30"/>
      <c r="Q23" s="30"/>
      <c r="R23" s="30"/>
      <c r="S23" s="30"/>
      <c r="T23" s="30"/>
      <c r="U23" s="30"/>
    </row>
    <row r="24" spans="1:21">
      <c r="B24" s="353"/>
      <c r="C24" s="353"/>
      <c r="D24" s="353"/>
      <c r="E24" s="353"/>
      <c r="F24" s="353"/>
      <c r="G24" s="353"/>
      <c r="H24" s="353"/>
      <c r="I24" s="353"/>
      <c r="J24" s="353"/>
      <c r="K24" s="353"/>
      <c r="L24" s="353"/>
      <c r="M24" s="353"/>
      <c r="N24" s="353"/>
      <c r="O24" s="353"/>
      <c r="P24" s="353"/>
      <c r="Q24" s="353"/>
      <c r="R24" s="353"/>
      <c r="S24" s="353"/>
      <c r="T24" s="353"/>
      <c r="U24" s="353"/>
    </row>
    <row r="25" spans="1:21">
      <c r="B25" s="353"/>
      <c r="C25" s="353"/>
      <c r="D25" s="353"/>
      <c r="E25" s="353"/>
      <c r="F25" s="353"/>
      <c r="G25" s="353"/>
      <c r="H25" s="353"/>
      <c r="I25" s="353"/>
      <c r="J25" s="353"/>
      <c r="K25" s="353"/>
      <c r="L25" s="353"/>
      <c r="M25" s="353"/>
      <c r="N25" s="353"/>
      <c r="O25" s="353"/>
      <c r="P25" s="353"/>
      <c r="Q25" s="353"/>
      <c r="R25" s="353"/>
      <c r="S25" s="353"/>
      <c r="T25" s="353"/>
      <c r="U25" s="353"/>
    </row>
    <row r="26" spans="1:21">
      <c r="B26" s="353"/>
      <c r="C26" s="353"/>
      <c r="D26" s="353"/>
      <c r="E26" s="353"/>
      <c r="F26" s="353"/>
      <c r="G26" s="353"/>
      <c r="H26" s="353"/>
      <c r="I26" s="353"/>
      <c r="J26" s="353"/>
      <c r="K26" s="353"/>
      <c r="L26" s="353"/>
      <c r="M26" s="353"/>
      <c r="N26" s="353"/>
      <c r="O26" s="353"/>
      <c r="P26" s="353"/>
      <c r="Q26" s="353"/>
      <c r="R26" s="353"/>
      <c r="S26" s="353"/>
      <c r="T26" s="353"/>
      <c r="U26" s="353"/>
    </row>
    <row r="27" spans="1:21">
      <c r="B27" s="353"/>
      <c r="C27" s="353"/>
      <c r="D27" s="353"/>
      <c r="E27" s="353"/>
      <c r="F27" s="353"/>
      <c r="G27" s="353"/>
      <c r="H27" s="353"/>
      <c r="I27" s="353"/>
      <c r="J27" s="353"/>
      <c r="K27" s="353"/>
      <c r="L27" s="353"/>
      <c r="M27" s="353"/>
      <c r="N27" s="353"/>
      <c r="O27" s="353"/>
      <c r="P27" s="353"/>
      <c r="Q27" s="353"/>
      <c r="R27" s="353"/>
      <c r="S27" s="353"/>
      <c r="T27" s="353"/>
      <c r="U27" s="353"/>
    </row>
    <row r="28" spans="1:21">
      <c r="B28" s="353"/>
      <c r="C28" s="353"/>
      <c r="D28" s="353"/>
      <c r="E28" s="353"/>
      <c r="F28" s="353"/>
      <c r="G28" s="353"/>
      <c r="H28" s="353"/>
      <c r="I28" s="353"/>
      <c r="J28" s="353"/>
      <c r="K28" s="353"/>
      <c r="L28" s="353"/>
      <c r="M28" s="353"/>
      <c r="N28" s="353"/>
      <c r="O28" s="353"/>
      <c r="P28" s="353"/>
      <c r="Q28" s="353"/>
      <c r="R28" s="353"/>
      <c r="S28" s="353"/>
      <c r="T28" s="353"/>
      <c r="U28" s="353"/>
    </row>
    <row r="29" spans="1:21">
      <c r="B29" s="353"/>
      <c r="C29" s="353"/>
      <c r="D29" s="353"/>
      <c r="E29" s="353"/>
      <c r="F29" s="353"/>
      <c r="G29" s="353"/>
      <c r="H29" s="353"/>
      <c r="I29" s="353"/>
      <c r="J29" s="353"/>
      <c r="K29" s="353"/>
      <c r="L29" s="353"/>
      <c r="M29" s="353"/>
      <c r="N29" s="353"/>
      <c r="O29" s="353"/>
      <c r="P29" s="353"/>
      <c r="Q29" s="353"/>
      <c r="R29" s="353"/>
      <c r="S29" s="353"/>
      <c r="T29" s="353"/>
      <c r="U29" s="353"/>
    </row>
    <row r="30" spans="1:21">
      <c r="B30" s="353"/>
      <c r="C30" s="353"/>
      <c r="D30" s="353"/>
      <c r="E30" s="353"/>
      <c r="F30" s="353"/>
      <c r="G30" s="353"/>
      <c r="H30" s="353"/>
      <c r="I30" s="353"/>
      <c r="J30" s="353"/>
      <c r="K30" s="353"/>
      <c r="L30" s="353"/>
      <c r="M30" s="353"/>
      <c r="N30" s="353"/>
      <c r="O30" s="353"/>
      <c r="P30" s="353"/>
      <c r="Q30" s="353"/>
      <c r="R30" s="353"/>
      <c r="S30" s="353"/>
      <c r="T30" s="353"/>
      <c r="U30" s="353"/>
    </row>
    <row r="31" spans="1:21">
      <c r="B31" s="353"/>
      <c r="C31" s="353"/>
      <c r="D31" s="353"/>
      <c r="E31" s="353"/>
      <c r="F31" s="353"/>
      <c r="G31" s="353"/>
      <c r="H31" s="353"/>
      <c r="I31" s="353"/>
      <c r="J31" s="353"/>
      <c r="K31" s="353"/>
      <c r="L31" s="353"/>
      <c r="M31" s="353"/>
      <c r="N31" s="353"/>
      <c r="O31" s="353"/>
      <c r="P31" s="353"/>
      <c r="Q31" s="353"/>
      <c r="R31" s="353"/>
      <c r="S31" s="353"/>
      <c r="T31" s="353"/>
      <c r="U31" s="353"/>
    </row>
    <row r="32" spans="1:21" ht="15">
      <c r="B32" s="382"/>
      <c r="C32" s="382"/>
      <c r="D32" s="382"/>
      <c r="E32" s="382"/>
      <c r="F32" s="382"/>
      <c r="G32" s="382"/>
      <c r="H32" s="382"/>
      <c r="I32" s="382"/>
      <c r="J32" s="382"/>
      <c r="K32" s="382" t="s">
        <v>459</v>
      </c>
      <c r="L32" s="382"/>
      <c r="M32" s="382" t="s">
        <v>67</v>
      </c>
      <c r="N32" s="382"/>
      <c r="O32" s="382" t="s">
        <v>460</v>
      </c>
      <c r="P32" s="382"/>
      <c r="Q32" s="382" t="s">
        <v>461</v>
      </c>
      <c r="R32" s="382"/>
      <c r="S32" s="382" t="s">
        <v>462</v>
      </c>
      <c r="T32" s="382"/>
      <c r="U32" s="30"/>
    </row>
    <row r="33" spans="1:22" ht="15">
      <c r="B33" s="382"/>
      <c r="C33" s="382"/>
      <c r="D33" s="382"/>
      <c r="E33" s="382"/>
      <c r="F33" s="382"/>
      <c r="G33" s="382"/>
      <c r="H33" s="382"/>
      <c r="I33" s="382"/>
      <c r="J33" s="382"/>
      <c r="K33" s="383">
        <f>'Shell Plate Design '!J39</f>
        <v>5.8776642335766418</v>
      </c>
      <c r="L33" s="383"/>
      <c r="M33" s="382">
        <f>COVER!H166</f>
        <v>1.6</v>
      </c>
      <c r="N33" s="382"/>
      <c r="O33" s="382">
        <f>'Shell Plate Design '!Q39-'Shell Plate Design '!K22</f>
        <v>6.4</v>
      </c>
      <c r="P33" s="382"/>
      <c r="Q33" s="383">
        <f>'Shell Plate Design '!M39</f>
        <v>3.8054545454545452</v>
      </c>
      <c r="R33" s="383"/>
      <c r="S33" s="382">
        <f>'Shell Plate Design '!$Q$39</f>
        <v>8</v>
      </c>
      <c r="T33" s="382"/>
      <c r="U33" s="30"/>
    </row>
    <row r="34" spans="1:22" ht="15">
      <c r="B34" s="382"/>
      <c r="C34" s="382"/>
      <c r="D34" s="382"/>
      <c r="E34" s="382"/>
      <c r="F34" s="382"/>
      <c r="G34" s="382"/>
      <c r="H34" s="382"/>
      <c r="I34" s="382"/>
      <c r="J34" s="382"/>
      <c r="K34" s="30"/>
      <c r="L34" s="30"/>
      <c r="M34" s="30"/>
      <c r="N34" s="30"/>
      <c r="O34" s="30"/>
      <c r="P34" s="30"/>
      <c r="Q34" s="30"/>
      <c r="R34" s="30"/>
      <c r="S34" s="30"/>
      <c r="T34" s="30"/>
      <c r="U34" s="30"/>
    </row>
    <row r="35" spans="1:22" ht="15">
      <c r="A35" t="s">
        <v>902</v>
      </c>
      <c r="B35" s="378" t="s">
        <v>293</v>
      </c>
      <c r="C35" s="378"/>
      <c r="D35" s="378"/>
      <c r="E35" s="378"/>
      <c r="F35" s="380">
        <f>((K33-M33)/(O33))*('Shell Plate Design '!K20)</f>
        <v>91.568749999999994</v>
      </c>
      <c r="G35" s="380"/>
      <c r="H35" s="380"/>
      <c r="I35" s="380"/>
      <c r="J35" s="380"/>
      <c r="K35" s="380"/>
      <c r="L35" s="380"/>
      <c r="M35" s="380"/>
      <c r="N35" s="378" t="s">
        <v>68</v>
      </c>
      <c r="O35" s="30"/>
      <c r="P35" s="30"/>
      <c r="Q35" s="30"/>
      <c r="R35" s="30"/>
      <c r="S35" s="30"/>
      <c r="T35" s="30"/>
      <c r="U35" s="30"/>
    </row>
    <row r="36" spans="1:22" ht="15">
      <c r="B36" s="378"/>
      <c r="C36" s="378"/>
      <c r="D36" s="378"/>
      <c r="E36" s="378"/>
      <c r="F36" s="380"/>
      <c r="G36" s="380"/>
      <c r="H36" s="380"/>
      <c r="I36" s="380"/>
      <c r="J36" s="380"/>
      <c r="K36" s="380"/>
      <c r="L36" s="380"/>
      <c r="M36" s="380"/>
      <c r="N36" s="378"/>
      <c r="O36" s="30"/>
      <c r="P36" s="30"/>
      <c r="Q36" s="30"/>
      <c r="R36" s="30"/>
      <c r="S36" s="30"/>
      <c r="T36" s="30"/>
      <c r="U36" s="30"/>
    </row>
    <row r="37" spans="1:22" ht="15">
      <c r="B37" s="378" t="s">
        <v>294</v>
      </c>
      <c r="C37" s="378"/>
      <c r="D37" s="378"/>
      <c r="E37" s="378"/>
      <c r="F37" s="378"/>
      <c r="G37" s="380">
        <f>(('Bottom &amp; Annular plate design'!Q33)/('Bottom &amp; Annular plate design'!S33))*('Shell Plate Design '!K21)</f>
        <v>73.254999999999995</v>
      </c>
      <c r="H37" s="380"/>
      <c r="I37" s="380"/>
      <c r="J37" s="380"/>
      <c r="K37" s="380"/>
      <c r="L37" s="380"/>
      <c r="M37" s="380"/>
      <c r="N37" s="378" t="s">
        <v>68</v>
      </c>
      <c r="O37" s="30"/>
      <c r="P37" s="30"/>
      <c r="Q37" s="30"/>
      <c r="R37" s="30"/>
      <c r="S37" s="30"/>
      <c r="T37" s="30"/>
      <c r="U37" s="30"/>
    </row>
    <row r="38" spans="1:22" ht="15">
      <c r="B38" s="378"/>
      <c r="C38" s="378"/>
      <c r="D38" s="378"/>
      <c r="E38" s="378"/>
      <c r="F38" s="378"/>
      <c r="G38" s="380"/>
      <c r="H38" s="380"/>
      <c r="I38" s="380"/>
      <c r="J38" s="380"/>
      <c r="K38" s="380"/>
      <c r="L38" s="380"/>
      <c r="M38" s="380"/>
      <c r="N38" s="378"/>
      <c r="O38" s="30"/>
      <c r="P38" s="30"/>
      <c r="Q38" s="30"/>
      <c r="R38" s="30"/>
      <c r="S38" s="30"/>
      <c r="T38" s="30"/>
      <c r="U38" s="30"/>
    </row>
    <row r="39" spans="1:22">
      <c r="B39" s="379" t="s">
        <v>239</v>
      </c>
      <c r="C39" s="379"/>
      <c r="D39" s="379"/>
      <c r="E39" s="379"/>
      <c r="F39" s="379"/>
      <c r="G39" s="379"/>
      <c r="H39" s="379"/>
      <c r="I39" s="379"/>
      <c r="J39" s="379"/>
      <c r="K39" s="379"/>
      <c r="L39" s="379"/>
      <c r="M39" s="379"/>
      <c r="N39" s="379"/>
      <c r="O39" s="379"/>
      <c r="P39" s="379"/>
      <c r="Q39" s="379"/>
      <c r="R39" s="379"/>
      <c r="S39" s="379"/>
      <c r="T39" s="379"/>
      <c r="U39" s="379"/>
    </row>
    <row r="40" spans="1:22">
      <c r="B40" s="379"/>
      <c r="C40" s="379"/>
      <c r="D40" s="379"/>
      <c r="E40" s="379"/>
      <c r="F40" s="379"/>
      <c r="G40" s="379"/>
      <c r="H40" s="379"/>
      <c r="I40" s="379"/>
      <c r="J40" s="379"/>
      <c r="K40" s="379"/>
      <c r="L40" s="379"/>
      <c r="M40" s="379"/>
      <c r="N40" s="379"/>
      <c r="O40" s="379"/>
      <c r="P40" s="379"/>
      <c r="Q40" s="379"/>
      <c r="R40" s="379"/>
      <c r="S40" s="379"/>
      <c r="T40" s="379"/>
      <c r="U40" s="379"/>
    </row>
    <row r="41" spans="1:22" ht="15">
      <c r="B41" s="378" t="s">
        <v>292</v>
      </c>
      <c r="C41" s="378"/>
      <c r="D41" s="378"/>
      <c r="E41" s="378"/>
      <c r="F41" s="384">
        <f>'Shell Plate Design '!Q39</f>
        <v>8</v>
      </c>
      <c r="G41" s="384"/>
      <c r="H41" s="378" t="s">
        <v>29</v>
      </c>
      <c r="I41" s="378"/>
      <c r="J41" s="31"/>
      <c r="K41" s="31"/>
      <c r="L41" s="31"/>
      <c r="M41" s="31"/>
      <c r="N41" s="31"/>
      <c r="O41" s="31"/>
      <c r="P41" s="31"/>
      <c r="Q41" s="31"/>
      <c r="R41" s="31"/>
      <c r="S41" s="31"/>
      <c r="T41" s="31"/>
      <c r="U41" s="31"/>
    </row>
    <row r="42" spans="1:22" ht="15">
      <c r="B42" s="378"/>
      <c r="C42" s="378"/>
      <c r="D42" s="378"/>
      <c r="E42" s="378"/>
      <c r="F42" s="384"/>
      <c r="G42" s="384"/>
      <c r="H42" s="378"/>
      <c r="I42" s="378"/>
      <c r="J42" s="31"/>
      <c r="K42" s="31"/>
      <c r="L42" s="31"/>
      <c r="M42" s="31"/>
      <c r="N42" s="31"/>
      <c r="O42" s="31"/>
      <c r="P42" s="31"/>
      <c r="Q42" s="31"/>
      <c r="R42" s="31"/>
      <c r="S42" s="31"/>
      <c r="T42" s="31"/>
      <c r="U42" s="31"/>
    </row>
    <row r="43" spans="1:22" ht="15" customHeight="1">
      <c r="B43" s="387" t="s">
        <v>786</v>
      </c>
      <c r="C43" s="387"/>
      <c r="D43" s="387"/>
      <c r="E43" s="387"/>
      <c r="F43" s="387"/>
      <c r="G43" s="387"/>
      <c r="H43" s="128">
        <v>6</v>
      </c>
      <c r="I43" s="26" t="s">
        <v>785</v>
      </c>
      <c r="J43" s="26">
        <f>F12</f>
        <v>1.6</v>
      </c>
      <c r="K43" s="26" t="s">
        <v>523</v>
      </c>
      <c r="L43" s="26">
        <f>H43+J43</f>
        <v>7.6</v>
      </c>
      <c r="M43" s="26" t="s">
        <v>29</v>
      </c>
      <c r="N43" s="31"/>
      <c r="O43" s="31"/>
      <c r="P43" s="31"/>
      <c r="Q43" s="31"/>
      <c r="R43" s="31"/>
      <c r="S43" s="31"/>
      <c r="T43" s="31"/>
      <c r="U43" s="43"/>
    </row>
    <row r="44" spans="1:22" ht="15">
      <c r="B44" s="31" t="s">
        <v>787</v>
      </c>
      <c r="C44" s="31"/>
      <c r="D44" s="31"/>
      <c r="E44" s="31"/>
      <c r="F44" s="26">
        <v>8</v>
      </c>
      <c r="G44" s="31" t="s">
        <v>29</v>
      </c>
      <c r="H44" s="31"/>
      <c r="I44" s="31"/>
      <c r="J44" s="31"/>
      <c r="K44" s="31"/>
      <c r="L44" s="31"/>
      <c r="M44" s="31"/>
      <c r="N44" s="31"/>
      <c r="O44" s="31"/>
      <c r="P44" s="31"/>
      <c r="Q44" s="31"/>
      <c r="R44" s="31"/>
      <c r="S44" s="31"/>
      <c r="T44" s="31"/>
      <c r="U44" s="43"/>
    </row>
    <row r="45" spans="1:22" ht="15.75" thickBot="1">
      <c r="B45" s="31"/>
      <c r="C45" s="31"/>
      <c r="D45" s="31"/>
      <c r="E45" s="31"/>
      <c r="F45" s="31"/>
      <c r="G45" s="31"/>
      <c r="H45" s="31"/>
      <c r="I45" s="31"/>
      <c r="J45" s="31"/>
      <c r="K45" s="31"/>
      <c r="L45" s="31"/>
      <c r="M45" s="31"/>
      <c r="N45" s="31"/>
      <c r="O45" s="31"/>
      <c r="P45" s="31"/>
      <c r="Q45" s="31"/>
      <c r="R45" s="31"/>
      <c r="S45" s="31"/>
      <c r="T45" s="31"/>
      <c r="U45" s="30"/>
    </row>
    <row r="46" spans="1:22" ht="15" customHeight="1">
      <c r="A46" s="229"/>
      <c r="B46" s="230"/>
      <c r="C46" s="230"/>
      <c r="D46" s="230"/>
      <c r="E46" s="231"/>
      <c r="F46" s="158" t="str">
        <f>F1</f>
        <v>نگهداشت و افزایش تولید میدان نفتی بینک
سطح الارض و ابنیه تحت الارض 
خرید مخازن ذخیره گاز ایستگاه تقویت فشار گاز بینک 
(قرارداد BK-HD-GCS-CO-0026_00 )</v>
      </c>
      <c r="G46" s="159"/>
      <c r="H46" s="159"/>
      <c r="I46" s="159"/>
      <c r="J46" s="159"/>
      <c r="K46" s="159"/>
      <c r="L46" s="159"/>
      <c r="M46" s="159"/>
      <c r="N46" s="159"/>
      <c r="O46" s="159"/>
      <c r="P46" s="159"/>
      <c r="Q46" s="160"/>
      <c r="R46" s="238"/>
      <c r="S46" s="238"/>
      <c r="T46" s="238"/>
      <c r="U46" s="238"/>
      <c r="V46" s="239"/>
    </row>
    <row r="47" spans="1:22">
      <c r="A47" s="232"/>
      <c r="B47" s="233"/>
      <c r="C47" s="233"/>
      <c r="D47" s="233"/>
      <c r="E47" s="234"/>
      <c r="F47" s="161"/>
      <c r="G47" s="162"/>
      <c r="H47" s="162"/>
      <c r="I47" s="162"/>
      <c r="J47" s="162"/>
      <c r="K47" s="162"/>
      <c r="L47" s="162"/>
      <c r="M47" s="162"/>
      <c r="N47" s="162"/>
      <c r="O47" s="162"/>
      <c r="P47" s="162"/>
      <c r="Q47" s="163"/>
      <c r="R47" s="177"/>
      <c r="S47" s="177"/>
      <c r="T47" s="177"/>
      <c r="U47" s="177"/>
      <c r="V47" s="240"/>
    </row>
    <row r="48" spans="1:22">
      <c r="A48" s="232"/>
      <c r="B48" s="233"/>
      <c r="C48" s="233"/>
      <c r="D48" s="233"/>
      <c r="E48" s="234"/>
      <c r="F48" s="161"/>
      <c r="G48" s="162"/>
      <c r="H48" s="162"/>
      <c r="I48" s="162"/>
      <c r="J48" s="162"/>
      <c r="K48" s="162"/>
      <c r="L48" s="162"/>
      <c r="M48" s="162"/>
      <c r="N48" s="162"/>
      <c r="O48" s="162"/>
      <c r="P48" s="162"/>
      <c r="Q48" s="163"/>
      <c r="R48" s="177"/>
      <c r="S48" s="177"/>
      <c r="T48" s="177"/>
      <c r="U48" s="177"/>
      <c r="V48" s="240"/>
    </row>
    <row r="49" spans="1:22">
      <c r="A49" s="232"/>
      <c r="B49" s="233"/>
      <c r="C49" s="233"/>
      <c r="D49" s="233"/>
      <c r="E49" s="234"/>
      <c r="F49" s="161"/>
      <c r="G49" s="162"/>
      <c r="H49" s="162"/>
      <c r="I49" s="162"/>
      <c r="J49" s="162"/>
      <c r="K49" s="162"/>
      <c r="L49" s="162"/>
      <c r="M49" s="162"/>
      <c r="N49" s="162"/>
      <c r="O49" s="162"/>
      <c r="P49" s="162"/>
      <c r="Q49" s="163"/>
      <c r="R49" s="177"/>
      <c r="S49" s="177"/>
      <c r="T49" s="177"/>
      <c r="U49" s="177"/>
      <c r="V49" s="240"/>
    </row>
    <row r="50" spans="1:22">
      <c r="A50" s="232"/>
      <c r="B50" s="233"/>
      <c r="C50" s="233"/>
      <c r="D50" s="233"/>
      <c r="E50" s="234"/>
      <c r="F50" s="164"/>
      <c r="G50" s="165"/>
      <c r="H50" s="165"/>
      <c r="I50" s="165"/>
      <c r="J50" s="165"/>
      <c r="K50" s="165"/>
      <c r="L50" s="165"/>
      <c r="M50" s="165"/>
      <c r="N50" s="165"/>
      <c r="O50" s="165"/>
      <c r="P50" s="165"/>
      <c r="Q50" s="166"/>
      <c r="R50" s="177"/>
      <c r="S50" s="177"/>
      <c r="T50" s="177"/>
      <c r="U50" s="177"/>
      <c r="V50" s="240"/>
    </row>
    <row r="51" spans="1:22" ht="22.9" customHeight="1">
      <c r="A51" s="235"/>
      <c r="B51" s="236"/>
      <c r="C51" s="236"/>
      <c r="D51" s="236"/>
      <c r="E51" s="237"/>
      <c r="F51" s="265" t="str">
        <f>F6</f>
        <v>Mechanical Calculation Book For Fire Water Tanks (TK-2301A/B)</v>
      </c>
      <c r="G51" s="266"/>
      <c r="H51" s="266"/>
      <c r="I51" s="266"/>
      <c r="J51" s="266"/>
      <c r="K51" s="266"/>
      <c r="L51" s="266"/>
      <c r="M51" s="266"/>
      <c r="N51" s="266"/>
      <c r="O51" s="266"/>
      <c r="P51" s="266"/>
      <c r="Q51" s="267"/>
      <c r="R51" s="177"/>
      <c r="S51" s="177"/>
      <c r="T51" s="177"/>
      <c r="U51" s="177"/>
      <c r="V51" s="240"/>
    </row>
    <row r="52" spans="1:22" ht="19.149999999999999" customHeight="1">
      <c r="A52" s="167" t="s">
        <v>743</v>
      </c>
      <c r="B52" s="168"/>
      <c r="C52" s="168"/>
      <c r="D52" s="168"/>
      <c r="E52" s="169"/>
      <c r="F52" s="125" t="s">
        <v>744</v>
      </c>
      <c r="G52" s="170" t="s">
        <v>745</v>
      </c>
      <c r="H52" s="171"/>
      <c r="I52" s="170" t="s">
        <v>746</v>
      </c>
      <c r="J52" s="171"/>
      <c r="K52" s="170" t="s">
        <v>747</v>
      </c>
      <c r="L52" s="171"/>
      <c r="M52" s="125" t="s">
        <v>748</v>
      </c>
      <c r="N52" s="170" t="s">
        <v>749</v>
      </c>
      <c r="O52" s="171"/>
      <c r="P52" s="125" t="s">
        <v>750</v>
      </c>
      <c r="Q52" s="126" t="s">
        <v>751</v>
      </c>
      <c r="R52" s="172">
        <f>R7</f>
        <v>29</v>
      </c>
      <c r="S52" s="174" t="s">
        <v>752</v>
      </c>
      <c r="T52" s="263">
        <f>T7+1</f>
        <v>9</v>
      </c>
      <c r="U52" s="168" t="s">
        <v>753</v>
      </c>
      <c r="V52" s="188"/>
    </row>
    <row r="53" spans="1:22" ht="22.9" customHeight="1" thickBot="1">
      <c r="A53" s="191" t="s">
        <v>754</v>
      </c>
      <c r="B53" s="175"/>
      <c r="C53" s="175"/>
      <c r="D53" s="175"/>
      <c r="E53" s="192"/>
      <c r="F53" s="132" t="s">
        <v>755</v>
      </c>
      <c r="G53" s="193" t="s">
        <v>756</v>
      </c>
      <c r="H53" s="193"/>
      <c r="I53" s="193" t="s">
        <v>878</v>
      </c>
      <c r="J53" s="193"/>
      <c r="K53" s="193">
        <v>120</v>
      </c>
      <c r="L53" s="193"/>
      <c r="M53" s="132" t="s">
        <v>757</v>
      </c>
      <c r="N53" s="193" t="s">
        <v>879</v>
      </c>
      <c r="O53" s="193"/>
      <c r="P53" s="142" t="s">
        <v>881</v>
      </c>
      <c r="Q53" s="133" t="str">
        <f>Q8</f>
        <v>V01</v>
      </c>
      <c r="R53" s="173"/>
      <c r="S53" s="175"/>
      <c r="T53" s="264"/>
      <c r="U53" s="189"/>
      <c r="V53" s="190"/>
    </row>
    <row r="55" spans="1:22" ht="15" customHeight="1">
      <c r="B55" s="374" t="s">
        <v>73</v>
      </c>
      <c r="C55" s="374"/>
      <c r="D55" s="374"/>
      <c r="E55" s="374"/>
      <c r="F55" s="374"/>
      <c r="G55" s="374"/>
      <c r="H55" s="374"/>
      <c r="I55" s="374"/>
      <c r="J55" s="374"/>
      <c r="K55" s="374"/>
    </row>
    <row r="56" spans="1:22" ht="15" customHeight="1">
      <c r="B56" s="374"/>
      <c r="C56" s="374"/>
      <c r="D56" s="374"/>
      <c r="E56" s="374"/>
      <c r="F56" s="374"/>
      <c r="G56" s="374"/>
      <c r="H56" s="374"/>
      <c r="I56" s="374"/>
      <c r="J56" s="374"/>
      <c r="K56" s="374"/>
    </row>
    <row r="57" spans="1:22" ht="15" customHeight="1">
      <c r="B57" s="386" t="s">
        <v>728</v>
      </c>
      <c r="C57" s="386"/>
      <c r="D57" s="386"/>
      <c r="E57" s="386"/>
      <c r="F57" s="386"/>
      <c r="G57" s="386"/>
      <c r="H57" s="386"/>
      <c r="I57" s="386"/>
      <c r="J57" s="386"/>
      <c r="K57" s="4"/>
      <c r="L57" s="4"/>
      <c r="M57" s="4"/>
      <c r="N57" s="4"/>
      <c r="Q57" s="373"/>
      <c r="R57" s="373"/>
    </row>
    <row r="58" spans="1:22" ht="23.25">
      <c r="B58" s="115" t="s">
        <v>729</v>
      </c>
      <c r="C58" s="21">
        <f>'Shell Plate Design '!Q39</f>
        <v>8</v>
      </c>
      <c r="D58" s="21" t="s">
        <v>29</v>
      </c>
      <c r="E58" s="4"/>
      <c r="F58" s="4"/>
      <c r="G58" s="4"/>
      <c r="H58" s="4"/>
      <c r="I58" s="4"/>
      <c r="J58" s="4"/>
      <c r="K58" s="4"/>
      <c r="L58" s="4"/>
      <c r="M58" s="4"/>
      <c r="N58" s="4"/>
    </row>
    <row r="59" spans="1:22">
      <c r="B59" s="4"/>
      <c r="C59" s="4"/>
      <c r="D59" s="4"/>
      <c r="E59" s="4"/>
      <c r="F59" s="4"/>
      <c r="G59" s="4"/>
      <c r="H59" s="4"/>
      <c r="I59" s="4"/>
      <c r="J59" s="4"/>
      <c r="K59" s="4"/>
      <c r="L59" s="4"/>
      <c r="M59" s="4"/>
      <c r="N59" s="4"/>
    </row>
    <row r="60" spans="1:22" ht="15" customHeight="1">
      <c r="B60" s="353"/>
      <c r="C60" s="353"/>
      <c r="D60" s="353"/>
      <c r="E60" s="353"/>
      <c r="F60" s="353"/>
      <c r="G60" s="353"/>
      <c r="H60" s="353"/>
      <c r="I60" s="104" t="s">
        <v>357</v>
      </c>
      <c r="J60" s="129">
        <f>COVER!J228</f>
        <v>205</v>
      </c>
      <c r="K60" s="129" t="s">
        <v>68</v>
      </c>
      <c r="L60" s="102"/>
      <c r="M60" s="102"/>
      <c r="N60" s="102"/>
    </row>
    <row r="61" spans="1:22" ht="18">
      <c r="B61" s="353"/>
      <c r="C61" s="353"/>
      <c r="D61" s="353"/>
      <c r="E61" s="353"/>
      <c r="F61" s="353"/>
      <c r="G61" s="353"/>
      <c r="H61" s="353"/>
      <c r="I61" s="104" t="s">
        <v>720</v>
      </c>
      <c r="J61" s="129">
        <f>F15</f>
        <v>8</v>
      </c>
      <c r="K61" s="129" t="s">
        <v>29</v>
      </c>
      <c r="L61" s="102"/>
      <c r="M61" s="102"/>
      <c r="N61" s="102"/>
    </row>
    <row r="62" spans="1:22" ht="18">
      <c r="B62" s="353"/>
      <c r="C62" s="353"/>
      <c r="D62" s="353"/>
      <c r="E62" s="353"/>
      <c r="F62" s="353"/>
      <c r="G62" s="353"/>
      <c r="H62" s="353"/>
      <c r="I62" s="104" t="s">
        <v>717</v>
      </c>
      <c r="J62" s="385">
        <f>'Shell Plate Design '!K19</f>
        <v>1</v>
      </c>
      <c r="K62" s="385"/>
      <c r="L62" s="102"/>
      <c r="M62" s="102"/>
      <c r="N62" s="102"/>
    </row>
    <row r="63" spans="1:22" ht="18">
      <c r="B63" s="353"/>
      <c r="C63" s="353"/>
      <c r="D63" s="353"/>
      <c r="E63" s="353"/>
      <c r="F63" s="353"/>
      <c r="G63" s="353"/>
      <c r="H63" s="353"/>
      <c r="I63" s="104" t="s">
        <v>718</v>
      </c>
      <c r="J63" s="129">
        <f>COVER!H154/1000</f>
        <v>9.5</v>
      </c>
      <c r="K63" s="129" t="s">
        <v>258</v>
      </c>
      <c r="L63" s="102"/>
      <c r="M63" s="102"/>
      <c r="N63" s="102"/>
      <c r="U63" s="381"/>
      <c r="V63" s="381"/>
    </row>
    <row r="64" spans="1:22" ht="25.5">
      <c r="B64" s="103"/>
      <c r="C64" s="103"/>
      <c r="D64" s="103"/>
      <c r="E64" s="103"/>
      <c r="F64" s="103"/>
      <c r="G64" s="103"/>
      <c r="H64" s="103"/>
      <c r="I64" s="104" t="s">
        <v>719</v>
      </c>
      <c r="J64" s="129">
        <v>9.8099999999999993E-3</v>
      </c>
      <c r="K64" s="129"/>
      <c r="L64" s="46"/>
      <c r="M64" s="46"/>
      <c r="N64" s="46"/>
    </row>
    <row r="65" spans="2:22" ht="18.75">
      <c r="B65" s="105" t="s">
        <v>721</v>
      </c>
      <c r="C65" s="105">
        <f>2*J61*((J60)/(2*J64*J62*J63))^0.5</f>
        <v>530.62243595327959</v>
      </c>
      <c r="D65" s="105" t="s">
        <v>29</v>
      </c>
      <c r="E65" s="103"/>
      <c r="F65" s="103"/>
      <c r="G65" s="103"/>
      <c r="H65" s="103"/>
      <c r="I65" s="103"/>
      <c r="J65" s="27"/>
    </row>
    <row r="66" spans="2:22">
      <c r="B66" s="113" t="s">
        <v>727</v>
      </c>
      <c r="C66" s="103"/>
      <c r="D66" s="114">
        <f>MAX(C65,600)</f>
        <v>600</v>
      </c>
      <c r="E66" s="114" t="s">
        <v>29</v>
      </c>
      <c r="F66" s="103"/>
      <c r="G66" s="103"/>
      <c r="H66" s="103"/>
      <c r="I66" s="103"/>
    </row>
    <row r="67" spans="2:22" ht="15">
      <c r="B67" s="3" t="s">
        <v>788</v>
      </c>
      <c r="C67" s="103"/>
      <c r="D67" s="103"/>
      <c r="E67" s="103"/>
      <c r="F67" s="137">
        <f>D66</f>
        <v>600</v>
      </c>
      <c r="G67" s="137" t="s">
        <v>789</v>
      </c>
      <c r="H67" s="137">
        <f>C58</f>
        <v>8</v>
      </c>
      <c r="I67" s="137" t="s">
        <v>789</v>
      </c>
      <c r="J67" s="137">
        <v>50</v>
      </c>
      <c r="K67" s="137" t="s">
        <v>523</v>
      </c>
      <c r="L67" s="137">
        <f>J67+H67+F67</f>
        <v>658</v>
      </c>
      <c r="M67" s="137" t="s">
        <v>29</v>
      </c>
      <c r="U67" s="11"/>
    </row>
    <row r="68" spans="2:22">
      <c r="B68" s="3"/>
      <c r="C68" s="3"/>
      <c r="D68" s="3"/>
      <c r="E68" s="3"/>
      <c r="F68" s="3"/>
      <c r="G68" s="3"/>
      <c r="H68" s="3"/>
      <c r="I68" s="3"/>
      <c r="J68" s="3"/>
      <c r="K68" s="3"/>
      <c r="L68" s="3"/>
      <c r="M68" s="3"/>
      <c r="N68" s="3"/>
      <c r="O68" s="3"/>
      <c r="P68" s="3"/>
      <c r="Q68" s="274"/>
      <c r="R68" s="274"/>
      <c r="S68" s="274"/>
      <c r="T68" s="3"/>
      <c r="U68" s="3"/>
    </row>
    <row r="69" spans="2:22">
      <c r="B69" s="274" t="s">
        <v>891</v>
      </c>
      <c r="C69" s="274"/>
      <c r="D69" s="274"/>
      <c r="E69" s="274"/>
      <c r="F69" s="274"/>
      <c r="G69" s="274"/>
      <c r="H69" s="274"/>
      <c r="I69" s="274"/>
      <c r="J69" s="274"/>
      <c r="K69" s="274"/>
      <c r="L69" s="274"/>
      <c r="M69" s="274"/>
      <c r="N69" s="274"/>
      <c r="O69" s="274"/>
      <c r="P69" s="274"/>
      <c r="Q69" s="372">
        <f>((PI()*(((S15/2000)^2)))*(F44/1000)*7850)+650</f>
        <v>9140.1858135803614</v>
      </c>
      <c r="R69" s="372"/>
      <c r="S69" s="372"/>
      <c r="T69" s="371" t="s">
        <v>898</v>
      </c>
      <c r="U69" s="371"/>
      <c r="V69" s="371"/>
    </row>
    <row r="70" spans="2:22">
      <c r="B70" s="274"/>
      <c r="C70" s="274"/>
      <c r="D70" s="274"/>
      <c r="E70" s="274"/>
      <c r="F70" s="274"/>
      <c r="G70" s="274"/>
      <c r="H70" s="274"/>
      <c r="I70" s="274"/>
      <c r="J70" s="274"/>
      <c r="K70" s="274"/>
      <c r="L70" s="274"/>
      <c r="M70" s="274"/>
      <c r="N70" s="274"/>
      <c r="O70" s="274"/>
      <c r="P70" s="274"/>
      <c r="Q70" s="372"/>
      <c r="R70" s="372"/>
      <c r="S70" s="372"/>
      <c r="T70" s="371"/>
      <c r="U70" s="371"/>
      <c r="V70" s="371"/>
    </row>
    <row r="71" spans="2:22">
      <c r="B71" s="3"/>
      <c r="C71" s="3"/>
      <c r="D71" s="3"/>
      <c r="E71" s="3"/>
      <c r="F71" s="3"/>
      <c r="G71" s="3"/>
      <c r="H71" s="3"/>
      <c r="I71" s="3"/>
      <c r="J71" s="3"/>
      <c r="K71" s="3"/>
      <c r="L71" s="3"/>
      <c r="M71" s="3"/>
      <c r="N71" s="3"/>
      <c r="O71" s="3"/>
      <c r="P71" s="3"/>
      <c r="Q71" s="3"/>
      <c r="R71" s="3"/>
      <c r="S71" s="3"/>
      <c r="T71" s="3"/>
      <c r="U71" s="3"/>
    </row>
    <row r="72" spans="2:22">
      <c r="F72" t="s">
        <v>892</v>
      </c>
      <c r="Q72" s="364">
        <f>(PI()*(((S15/2000)^2)))*((F44-COVER!$H$168)/1000)*7850*1.22</f>
        <v>8286.4213540544333</v>
      </c>
      <c r="R72" s="364"/>
      <c r="S72" s="364"/>
      <c r="T72" s="353"/>
      <c r="U72" s="353"/>
    </row>
    <row r="85" spans="6:6" ht="399">
      <c r="F85" s="155" t="s">
        <v>886</v>
      </c>
    </row>
    <row r="133" spans="6:6" ht="399">
      <c r="F133" s="155" t="s">
        <v>886</v>
      </c>
    </row>
    <row r="190" spans="6:6" ht="399">
      <c r="F190" s="155" t="s">
        <v>886</v>
      </c>
    </row>
  </sheetData>
  <mergeCells count="79">
    <mergeCell ref="Q72:S72"/>
    <mergeCell ref="T72:U72"/>
    <mergeCell ref="T52:T53"/>
    <mergeCell ref="B69:P70"/>
    <mergeCell ref="B41:E42"/>
    <mergeCell ref="F41:G42"/>
    <mergeCell ref="J62:K62"/>
    <mergeCell ref="B57:J57"/>
    <mergeCell ref="B43:G43"/>
    <mergeCell ref="F46:Q50"/>
    <mergeCell ref="A52:E52"/>
    <mergeCell ref="G52:H52"/>
    <mergeCell ref="I52:J52"/>
    <mergeCell ref="K52:L52"/>
    <mergeCell ref="N52:O52"/>
    <mergeCell ref="R52:R53"/>
    <mergeCell ref="F6:Q6"/>
    <mergeCell ref="T7:T8"/>
    <mergeCell ref="A1:E6"/>
    <mergeCell ref="R1:V6"/>
    <mergeCell ref="F1:Q5"/>
    <mergeCell ref="A7:E7"/>
    <mergeCell ref="G7:H7"/>
    <mergeCell ref="I7:J7"/>
    <mergeCell ref="K7:L7"/>
    <mergeCell ref="N7:O7"/>
    <mergeCell ref="R7:R8"/>
    <mergeCell ref="S7:S8"/>
    <mergeCell ref="A8:E8"/>
    <mergeCell ref="U7:V8"/>
    <mergeCell ref="G8:H8"/>
    <mergeCell ref="I8:J8"/>
    <mergeCell ref="M33:N33"/>
    <mergeCell ref="B32:J34"/>
    <mergeCell ref="M32:N32"/>
    <mergeCell ref="B15:E15"/>
    <mergeCell ref="B16:J17"/>
    <mergeCell ref="B18:S21"/>
    <mergeCell ref="O32:P32"/>
    <mergeCell ref="Q32:R32"/>
    <mergeCell ref="K32:L32"/>
    <mergeCell ref="K33:L33"/>
    <mergeCell ref="S32:T32"/>
    <mergeCell ref="O33:P33"/>
    <mergeCell ref="Q33:R33"/>
    <mergeCell ref="S33:T33"/>
    <mergeCell ref="N35:N36"/>
    <mergeCell ref="B39:U40"/>
    <mergeCell ref="B60:H63"/>
    <mergeCell ref="A46:E51"/>
    <mergeCell ref="R46:V51"/>
    <mergeCell ref="B35:E36"/>
    <mergeCell ref="F35:M36"/>
    <mergeCell ref="F51:Q51"/>
    <mergeCell ref="H41:I42"/>
    <mergeCell ref="B37:F38"/>
    <mergeCell ref="G37:M38"/>
    <mergeCell ref="N37:N38"/>
    <mergeCell ref="U63:V63"/>
    <mergeCell ref="K8:L8"/>
    <mergeCell ref="N8:O8"/>
    <mergeCell ref="S15:T15"/>
    <mergeCell ref="B24:U31"/>
    <mergeCell ref="B9:N10"/>
    <mergeCell ref="O15:P15"/>
    <mergeCell ref="B22:L23"/>
    <mergeCell ref="S14:T14"/>
    <mergeCell ref="Q68:S68"/>
    <mergeCell ref="T69:V70"/>
    <mergeCell ref="S52:S53"/>
    <mergeCell ref="U52:V53"/>
    <mergeCell ref="A53:E53"/>
    <mergeCell ref="G53:H53"/>
    <mergeCell ref="I53:J53"/>
    <mergeCell ref="K53:L53"/>
    <mergeCell ref="N53:O53"/>
    <mergeCell ref="Q69:S70"/>
    <mergeCell ref="Q57:R57"/>
    <mergeCell ref="B55:K56"/>
  </mergeCells>
  <printOptions horizontalCentered="1"/>
  <pageMargins left="0.11811023622047245" right="0.11811023622047245" top="0.19685039370078741" bottom="0" header="0.11811023622047245" footer="0.11811023622047245"/>
  <pageSetup paperSize="9" scale="78" orientation="portrait" r:id="rId1"/>
  <rowBreaks count="1" manualBreakCount="1">
    <brk id="45"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V190"/>
  <sheetViews>
    <sheetView view="pageBreakPreview" topLeftCell="A97" zoomScaleNormal="100" zoomScaleSheetLayoutView="100" workbookViewId="0">
      <selection activeCell="F190" sqref="F190:Q194"/>
    </sheetView>
  </sheetViews>
  <sheetFormatPr defaultRowHeight="14.25"/>
  <cols>
    <col min="1" max="4" width="5.75" customWidth="1"/>
    <col min="5" max="5" width="7.25" customWidth="1"/>
    <col min="6" max="16" width="5.75" customWidth="1"/>
    <col min="17" max="17" width="6.875" customWidth="1"/>
    <col min="18"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4"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22.9"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'Bottom &amp; Annular plate design'!R52</f>
        <v>29</v>
      </c>
      <c r="S7" s="174" t="s">
        <v>752</v>
      </c>
      <c r="T7" s="263">
        <f>'Bottom &amp; Annular plate design'!T52+1</f>
        <v>10</v>
      </c>
      <c r="U7" s="168" t="s">
        <v>753</v>
      </c>
      <c r="V7" s="188"/>
    </row>
    <row r="8" spans="1:22" ht="21"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'Bottom &amp; Annular plate design'!Q53</f>
        <v>V01</v>
      </c>
      <c r="R8" s="173"/>
      <c r="S8" s="175"/>
      <c r="T8" s="264"/>
      <c r="U8" s="189"/>
      <c r="V8" s="190"/>
    </row>
    <row r="9" spans="1:22" ht="15">
      <c r="B9" s="393" t="s">
        <v>638</v>
      </c>
      <c r="C9" s="393"/>
      <c r="D9" s="393"/>
      <c r="E9" s="393"/>
      <c r="F9" s="393"/>
      <c r="G9" s="393"/>
      <c r="H9" s="30"/>
      <c r="I9" s="30"/>
      <c r="J9" s="30"/>
      <c r="K9" s="30"/>
      <c r="L9" s="30"/>
      <c r="M9" s="30"/>
      <c r="N9" s="30"/>
      <c r="O9" s="30"/>
      <c r="P9" s="30"/>
      <c r="Q9" s="30"/>
      <c r="R9" s="30"/>
      <c r="S9" s="30"/>
      <c r="T9" s="30"/>
      <c r="U9" s="30"/>
    </row>
    <row r="10" spans="1:22" ht="15">
      <c r="B10" s="393"/>
      <c r="C10" s="393"/>
      <c r="D10" s="393"/>
      <c r="E10" s="393"/>
      <c r="F10" s="393"/>
      <c r="G10" s="393"/>
      <c r="H10" s="30"/>
      <c r="I10" s="30"/>
      <c r="J10" s="30"/>
      <c r="K10" s="30"/>
      <c r="L10" s="30"/>
      <c r="M10" s="30"/>
      <c r="N10" s="30"/>
      <c r="O10" s="30"/>
      <c r="P10" s="30"/>
      <c r="Q10" s="30"/>
      <c r="R10" s="30"/>
      <c r="S10" s="30"/>
      <c r="T10" s="30"/>
      <c r="U10" s="30"/>
    </row>
    <row r="11" spans="1:22" ht="22.15" customHeight="1">
      <c r="B11" s="31" t="s">
        <v>790</v>
      </c>
      <c r="C11" s="31"/>
      <c r="D11" s="378" t="str">
        <f>COVER!K150</f>
        <v>Cone Roof Suported by Rafter</v>
      </c>
      <c r="E11" s="378"/>
      <c r="F11" s="378"/>
      <c r="G11" s="378"/>
      <c r="H11" s="378"/>
      <c r="I11" s="378"/>
      <c r="J11" s="31"/>
      <c r="K11" s="31"/>
      <c r="L11" s="31"/>
      <c r="M11" s="30"/>
      <c r="N11" s="30"/>
      <c r="O11" s="30"/>
      <c r="P11" s="30"/>
      <c r="Q11" s="30"/>
      <c r="R11" s="30"/>
      <c r="S11" s="30"/>
      <c r="T11" s="30"/>
      <c r="U11" s="30"/>
    </row>
    <row r="12" spans="1:22" ht="15.75">
      <c r="B12" s="389" t="s">
        <v>507</v>
      </c>
      <c r="C12" s="389"/>
      <c r="D12" s="389"/>
      <c r="E12" s="389"/>
      <c r="F12" s="30"/>
      <c r="G12" s="30"/>
      <c r="H12" s="30"/>
      <c r="I12" s="30"/>
      <c r="J12" s="30"/>
      <c r="K12" s="30"/>
      <c r="L12" s="30"/>
      <c r="M12" s="30"/>
      <c r="N12" s="30"/>
      <c r="O12" s="30"/>
      <c r="P12" s="30"/>
      <c r="Q12" s="30"/>
      <c r="R12" s="30"/>
      <c r="S12" s="30"/>
      <c r="T12" s="30"/>
      <c r="U12" s="30"/>
    </row>
    <row r="13" spans="1:22">
      <c r="B13" s="390" t="s">
        <v>508</v>
      </c>
      <c r="C13" s="390"/>
      <c r="D13" s="390"/>
      <c r="E13" s="390"/>
      <c r="F13" s="390"/>
      <c r="G13" s="390"/>
      <c r="H13" s="390"/>
      <c r="I13" s="390"/>
      <c r="J13" s="390"/>
      <c r="K13" s="390"/>
      <c r="L13" s="390"/>
      <c r="M13" s="390"/>
      <c r="N13" s="390"/>
      <c r="O13" s="390"/>
      <c r="P13" s="390"/>
      <c r="Q13" s="390"/>
      <c r="R13" s="390"/>
      <c r="S13" s="390"/>
      <c r="T13" s="390"/>
      <c r="U13" s="390"/>
    </row>
    <row r="14" spans="1:22">
      <c r="B14" s="390"/>
      <c r="C14" s="390"/>
      <c r="D14" s="390"/>
      <c r="E14" s="390"/>
      <c r="F14" s="390"/>
      <c r="G14" s="390"/>
      <c r="H14" s="390"/>
      <c r="I14" s="390"/>
      <c r="J14" s="390"/>
      <c r="K14" s="390"/>
      <c r="L14" s="390"/>
      <c r="M14" s="390"/>
      <c r="N14" s="390"/>
      <c r="O14" s="390"/>
      <c r="P14" s="390"/>
      <c r="Q14" s="390"/>
      <c r="R14" s="390"/>
      <c r="S14" s="390"/>
      <c r="T14" s="390"/>
      <c r="U14" s="390"/>
    </row>
    <row r="15" spans="1:22">
      <c r="B15" s="390"/>
      <c r="C15" s="390"/>
      <c r="D15" s="390"/>
      <c r="E15" s="390"/>
      <c r="F15" s="390"/>
      <c r="G15" s="390"/>
      <c r="H15" s="390"/>
      <c r="I15" s="390"/>
      <c r="J15" s="390"/>
      <c r="K15" s="390"/>
      <c r="L15" s="390"/>
      <c r="M15" s="390"/>
      <c r="N15" s="390"/>
      <c r="O15" s="390"/>
      <c r="P15" s="390"/>
      <c r="Q15" s="390"/>
      <c r="R15" s="390"/>
      <c r="S15" s="390"/>
      <c r="T15" s="390"/>
      <c r="U15" s="390"/>
    </row>
    <row r="16" spans="1:22" ht="409.5">
      <c r="A16" s="157" t="s">
        <v>901</v>
      </c>
      <c r="B16" s="391" t="s">
        <v>509</v>
      </c>
      <c r="C16" s="391"/>
      <c r="D16" s="391"/>
      <c r="E16" s="391"/>
      <c r="F16" s="30"/>
      <c r="G16" s="30"/>
      <c r="H16" s="30"/>
      <c r="I16" s="30"/>
      <c r="J16" s="30"/>
      <c r="K16" s="30"/>
      <c r="L16" s="30"/>
      <c r="M16" s="30"/>
      <c r="N16" s="30"/>
      <c r="O16" s="30"/>
      <c r="P16" s="30"/>
      <c r="Q16" s="30"/>
      <c r="R16" s="30"/>
      <c r="S16" s="30"/>
      <c r="T16" s="30"/>
      <c r="U16" s="30"/>
    </row>
    <row r="17" spans="2:21">
      <c r="B17" s="348" t="s">
        <v>510</v>
      </c>
      <c r="C17" s="358"/>
      <c r="D17" s="358"/>
      <c r="E17" s="358"/>
      <c r="F17" s="358"/>
      <c r="G17" s="358"/>
      <c r="H17" s="358"/>
      <c r="I17" s="358"/>
      <c r="J17" s="358"/>
      <c r="K17" s="358"/>
      <c r="L17" s="358"/>
      <c r="M17" s="358"/>
      <c r="N17" s="358"/>
      <c r="O17" s="358"/>
      <c r="P17" s="358"/>
      <c r="Q17" s="358"/>
      <c r="R17" s="358"/>
      <c r="S17" s="358"/>
      <c r="T17" s="358"/>
      <c r="U17" s="358"/>
    </row>
    <row r="18" spans="2:21">
      <c r="B18" s="358"/>
      <c r="C18" s="358"/>
      <c r="D18" s="358"/>
      <c r="E18" s="358"/>
      <c r="F18" s="358"/>
      <c r="G18" s="358"/>
      <c r="H18" s="358"/>
      <c r="I18" s="358"/>
      <c r="J18" s="358"/>
      <c r="K18" s="358"/>
      <c r="L18" s="358"/>
      <c r="M18" s="358"/>
      <c r="N18" s="358"/>
      <c r="O18" s="358"/>
      <c r="P18" s="358"/>
      <c r="Q18" s="358"/>
      <c r="R18" s="358"/>
      <c r="S18" s="358"/>
      <c r="T18" s="358"/>
      <c r="U18" s="358"/>
    </row>
    <row r="19" spans="2:21">
      <c r="B19" s="358"/>
      <c r="C19" s="358"/>
      <c r="D19" s="358"/>
      <c r="E19" s="358"/>
      <c r="F19" s="358"/>
      <c r="G19" s="358"/>
      <c r="H19" s="358"/>
      <c r="I19" s="358"/>
      <c r="J19" s="358"/>
      <c r="K19" s="358"/>
      <c r="L19" s="358"/>
      <c r="M19" s="358"/>
      <c r="N19" s="358"/>
      <c r="O19" s="358"/>
      <c r="P19" s="358"/>
      <c r="Q19" s="358"/>
      <c r="R19" s="358"/>
      <c r="S19" s="358"/>
      <c r="T19" s="358"/>
      <c r="U19" s="358"/>
    </row>
    <row r="20" spans="2:21">
      <c r="B20" s="358"/>
      <c r="C20" s="358"/>
      <c r="D20" s="358"/>
      <c r="E20" s="358"/>
      <c r="F20" s="358"/>
      <c r="G20" s="358"/>
      <c r="H20" s="358"/>
      <c r="I20" s="358"/>
      <c r="J20" s="358"/>
      <c r="K20" s="358"/>
      <c r="L20" s="358"/>
      <c r="M20" s="358"/>
      <c r="N20" s="358"/>
      <c r="O20" s="358"/>
      <c r="P20" s="358"/>
      <c r="Q20" s="358"/>
      <c r="R20" s="358"/>
      <c r="S20" s="358"/>
      <c r="T20" s="358"/>
      <c r="U20" s="358"/>
    </row>
    <row r="21" spans="2:21">
      <c r="B21" s="358"/>
      <c r="C21" s="358"/>
      <c r="D21" s="358"/>
      <c r="E21" s="358"/>
      <c r="F21" s="358"/>
      <c r="G21" s="358"/>
      <c r="H21" s="358"/>
      <c r="I21" s="358"/>
      <c r="J21" s="358"/>
      <c r="K21" s="358"/>
      <c r="L21" s="358"/>
      <c r="M21" s="358"/>
      <c r="N21" s="358"/>
      <c r="O21" s="358"/>
      <c r="P21" s="358"/>
      <c r="Q21" s="358"/>
      <c r="R21" s="358"/>
      <c r="S21" s="358"/>
      <c r="T21" s="358"/>
      <c r="U21" s="358"/>
    </row>
    <row r="22" spans="2:21">
      <c r="B22" s="358"/>
      <c r="C22" s="358"/>
      <c r="D22" s="358"/>
      <c r="E22" s="358"/>
      <c r="F22" s="358"/>
      <c r="G22" s="358"/>
      <c r="H22" s="358"/>
      <c r="I22" s="358"/>
      <c r="J22" s="358"/>
      <c r="K22" s="358"/>
      <c r="L22" s="358"/>
      <c r="M22" s="358"/>
      <c r="N22" s="358"/>
      <c r="O22" s="358"/>
      <c r="P22" s="358"/>
      <c r="Q22" s="358"/>
      <c r="R22" s="358"/>
      <c r="S22" s="358"/>
      <c r="T22" s="358"/>
      <c r="U22" s="358"/>
    </row>
    <row r="23" spans="2:21">
      <c r="B23" s="358"/>
      <c r="C23" s="358"/>
      <c r="D23" s="358"/>
      <c r="E23" s="358"/>
      <c r="F23" s="358"/>
      <c r="G23" s="358"/>
      <c r="H23" s="358"/>
      <c r="I23" s="358"/>
      <c r="J23" s="358"/>
      <c r="K23" s="358"/>
      <c r="L23" s="358"/>
      <c r="M23" s="358"/>
      <c r="N23" s="358"/>
      <c r="O23" s="358"/>
      <c r="P23" s="358"/>
      <c r="Q23" s="358"/>
      <c r="R23" s="358"/>
      <c r="S23" s="358"/>
      <c r="T23" s="358"/>
      <c r="U23" s="358"/>
    </row>
    <row r="24" spans="2:21" ht="15">
      <c r="B24" s="30"/>
      <c r="C24" s="30"/>
      <c r="D24" s="30"/>
      <c r="E24" s="30"/>
      <c r="F24" s="30"/>
      <c r="G24" s="30"/>
      <c r="H24" s="30"/>
      <c r="I24" s="30"/>
      <c r="J24" s="30"/>
      <c r="K24" s="30"/>
      <c r="L24" s="30"/>
      <c r="M24" s="30"/>
      <c r="N24" s="30"/>
      <c r="O24" s="30"/>
      <c r="P24" s="30"/>
      <c r="Q24" s="30"/>
      <c r="R24" s="30"/>
      <c r="S24" s="30"/>
      <c r="T24" s="30"/>
      <c r="U24" s="30"/>
    </row>
    <row r="25" spans="2:21" ht="20.45" customHeight="1">
      <c r="B25" s="30" t="s">
        <v>141</v>
      </c>
      <c r="C25" s="30" t="s">
        <v>516</v>
      </c>
      <c r="D25" s="30"/>
      <c r="E25" s="30"/>
      <c r="F25" s="30"/>
      <c r="G25" s="30"/>
      <c r="H25" s="30"/>
      <c r="I25" s="30"/>
      <c r="J25" s="30"/>
      <c r="K25" s="30"/>
      <c r="L25" s="30"/>
      <c r="M25" s="51">
        <v>1</v>
      </c>
      <c r="N25" s="30"/>
      <c r="O25" s="30"/>
      <c r="P25" s="30"/>
      <c r="Q25" s="26">
        <v>5.7</v>
      </c>
      <c r="R25" s="30" t="s">
        <v>703</v>
      </c>
      <c r="S25" s="30"/>
      <c r="T25" s="68"/>
      <c r="U25" s="30"/>
    </row>
    <row r="26" spans="2:21" ht="15">
      <c r="B26" s="30" t="s">
        <v>34</v>
      </c>
      <c r="C26" s="388" t="s">
        <v>517</v>
      </c>
      <c r="D26" s="388"/>
      <c r="E26" s="388"/>
      <c r="F26" s="388"/>
      <c r="G26" s="388"/>
      <c r="H26" s="30"/>
      <c r="I26" s="30"/>
      <c r="J26" s="30"/>
      <c r="K26" s="30"/>
      <c r="L26" s="26">
        <v>10</v>
      </c>
      <c r="M26" s="30"/>
      <c r="N26" s="30"/>
      <c r="O26" s="30"/>
      <c r="P26" s="30"/>
      <c r="Q26" s="26">
        <f>COVER!H153/1000</f>
        <v>13</v>
      </c>
      <c r="R26" s="30" t="s">
        <v>258</v>
      </c>
      <c r="S26" s="30"/>
      <c r="T26" s="30"/>
      <c r="U26" s="30"/>
    </row>
    <row r="27" spans="2:21" ht="15">
      <c r="B27" s="30" t="s">
        <v>511</v>
      </c>
      <c r="C27" s="69" t="s">
        <v>601</v>
      </c>
      <c r="D27" s="69"/>
      <c r="E27" s="69"/>
      <c r="F27" s="69"/>
      <c r="G27" s="69"/>
      <c r="H27" s="30"/>
      <c r="I27" s="30"/>
      <c r="J27" s="30"/>
      <c r="K27" s="33">
        <v>5</v>
      </c>
      <c r="L27" s="33" t="s">
        <v>785</v>
      </c>
      <c r="M27" s="33">
        <f>COVER!H167</f>
        <v>1.6</v>
      </c>
      <c r="N27" s="33" t="s">
        <v>791</v>
      </c>
      <c r="O27" s="26">
        <f>K27+M27</f>
        <v>6.6</v>
      </c>
      <c r="P27" s="65" t="s">
        <v>522</v>
      </c>
      <c r="Q27" s="26">
        <v>8</v>
      </c>
      <c r="R27" s="30" t="s">
        <v>29</v>
      </c>
      <c r="S27" s="30"/>
      <c r="T27" s="30"/>
      <c r="U27" s="30"/>
    </row>
    <row r="28" spans="2:21" ht="15">
      <c r="B28" s="30" t="s">
        <v>512</v>
      </c>
      <c r="C28" s="30" t="s">
        <v>518</v>
      </c>
      <c r="D28" s="30"/>
      <c r="E28" s="30"/>
      <c r="F28" s="30"/>
      <c r="G28" s="30"/>
      <c r="H28" s="30"/>
      <c r="I28" s="30"/>
      <c r="J28" s="30"/>
      <c r="K28" s="30"/>
      <c r="L28" s="30"/>
      <c r="M28" s="30"/>
      <c r="N28" s="30"/>
      <c r="O28" s="30"/>
      <c r="P28" s="30"/>
      <c r="Q28" s="146">
        <f>E37</f>
        <v>9068.6953695000011</v>
      </c>
      <c r="R28" s="30" t="s">
        <v>153</v>
      </c>
      <c r="S28" s="30"/>
      <c r="T28" s="30"/>
      <c r="U28" s="30"/>
    </row>
    <row r="29" spans="2:21" ht="15">
      <c r="B29" s="30" t="s">
        <v>513</v>
      </c>
      <c r="C29" s="30" t="s">
        <v>519</v>
      </c>
      <c r="D29" s="30"/>
      <c r="E29" s="30"/>
      <c r="F29" s="30"/>
      <c r="G29" s="30"/>
      <c r="H29" s="30"/>
      <c r="I29" s="30"/>
      <c r="J29" s="30"/>
      <c r="K29" s="30"/>
      <c r="L29" s="30"/>
      <c r="M29" s="30"/>
      <c r="N29" s="30"/>
      <c r="O29" s="30"/>
      <c r="P29" s="30"/>
      <c r="Q29" s="146">
        <f>Q28-(Q28*0.25)</f>
        <v>6801.5215271250008</v>
      </c>
      <c r="R29" s="30" t="s">
        <v>153</v>
      </c>
      <c r="S29" s="30"/>
      <c r="T29" s="30"/>
      <c r="U29" s="30"/>
    </row>
    <row r="30" spans="2:21" ht="15">
      <c r="B30" s="30" t="s">
        <v>514</v>
      </c>
      <c r="C30" s="30" t="s">
        <v>520</v>
      </c>
      <c r="D30" s="30"/>
      <c r="E30" s="30"/>
      <c r="F30" s="30"/>
      <c r="G30" s="30"/>
      <c r="H30" s="30"/>
      <c r="I30" s="30"/>
      <c r="J30" s="30"/>
      <c r="K30" s="30"/>
      <c r="L30" s="30"/>
      <c r="M30" s="30"/>
      <c r="N30" s="30"/>
      <c r="O30" s="30"/>
      <c r="P30" s="30"/>
      <c r="Q30" s="146">
        <f>E38</f>
        <v>4250</v>
      </c>
      <c r="R30" s="30" t="s">
        <v>153</v>
      </c>
      <c r="S30" s="30"/>
      <c r="T30" s="30"/>
      <c r="U30" s="30"/>
    </row>
    <row r="31" spans="2:21" ht="15">
      <c r="B31" s="30" t="s">
        <v>515</v>
      </c>
      <c r="C31" s="30" t="s">
        <v>521</v>
      </c>
      <c r="D31" s="30"/>
      <c r="E31" s="30"/>
      <c r="F31" s="30"/>
      <c r="G31" s="30"/>
      <c r="H31" s="30"/>
      <c r="I31" s="30"/>
      <c r="J31" s="30"/>
      <c r="K31" s="30"/>
      <c r="L31" s="30"/>
      <c r="M31" s="30"/>
      <c r="N31" s="30"/>
      <c r="O31" s="30"/>
      <c r="P31" s="30"/>
      <c r="Q31" s="146">
        <f>E40</f>
        <v>13318.695369500001</v>
      </c>
      <c r="R31" s="30" t="s">
        <v>153</v>
      </c>
      <c r="S31" s="30"/>
      <c r="T31" s="30"/>
      <c r="U31" s="30"/>
    </row>
    <row r="32" spans="2:21" ht="15">
      <c r="B32" s="30" t="s">
        <v>730</v>
      </c>
      <c r="C32" s="30"/>
      <c r="D32" s="30"/>
      <c r="E32" s="30"/>
      <c r="F32" s="30"/>
      <c r="G32" s="30"/>
      <c r="H32" s="30"/>
      <c r="I32" s="30"/>
      <c r="J32" s="30"/>
      <c r="K32" s="30"/>
      <c r="L32" s="30"/>
      <c r="M32" s="30"/>
      <c r="N32" s="30"/>
      <c r="O32" s="30"/>
      <c r="P32" s="30"/>
      <c r="Q32" s="127">
        <f>(TAN(RADIANS(Q25)*(Q26/2))/2)</f>
        <v>0.37746157625686177</v>
      </c>
      <c r="R32" s="30" t="s">
        <v>258</v>
      </c>
      <c r="S32" s="30"/>
      <c r="T32" s="30"/>
      <c r="U32" s="30"/>
    </row>
    <row r="33" spans="1:21" ht="15">
      <c r="B33" s="30"/>
      <c r="C33" s="30"/>
      <c r="D33" s="30"/>
      <c r="E33" s="30"/>
      <c r="F33" s="30"/>
      <c r="G33" s="30"/>
      <c r="H33" s="30"/>
      <c r="I33" s="30"/>
      <c r="J33" s="30"/>
      <c r="K33" s="30"/>
      <c r="L33" s="30"/>
      <c r="M33" s="30"/>
      <c r="N33" s="30"/>
      <c r="O33" s="30"/>
      <c r="P33" s="30"/>
      <c r="Q33" s="30"/>
      <c r="R33" s="30"/>
      <c r="S33" s="30"/>
      <c r="T33" s="30"/>
      <c r="U33" s="30"/>
    </row>
    <row r="34" spans="1:21" ht="31.15" customHeight="1">
      <c r="B34" s="387" t="s">
        <v>792</v>
      </c>
      <c r="C34" s="387"/>
      <c r="D34" s="387"/>
      <c r="E34" s="387"/>
      <c r="F34" s="387"/>
      <c r="G34" s="387"/>
      <c r="H34" s="387"/>
      <c r="I34" s="387"/>
      <c r="J34" s="387"/>
      <c r="K34" s="387"/>
      <c r="L34" s="387"/>
      <c r="M34" s="387"/>
      <c r="N34" s="387"/>
      <c r="O34" s="387"/>
      <c r="P34" s="387"/>
      <c r="Q34" s="387"/>
      <c r="R34" s="30"/>
      <c r="S34" s="30"/>
      <c r="T34" s="30"/>
      <c r="U34" s="30"/>
    </row>
    <row r="35" spans="1:21" ht="15">
      <c r="A35" t="s">
        <v>902</v>
      </c>
      <c r="B35" s="30"/>
      <c r="C35" s="30"/>
      <c r="D35" s="30"/>
      <c r="E35" s="30"/>
      <c r="F35" s="30"/>
      <c r="G35" s="30"/>
      <c r="H35" s="30"/>
      <c r="I35" s="30"/>
      <c r="J35" s="30"/>
      <c r="K35" s="30"/>
      <c r="L35" s="30"/>
      <c r="M35" s="30"/>
      <c r="N35" s="30"/>
      <c r="O35" s="30"/>
      <c r="P35" s="30"/>
      <c r="Q35" s="30"/>
      <c r="R35" s="30"/>
      <c r="S35" s="30"/>
      <c r="T35" s="30"/>
      <c r="U35" s="30"/>
    </row>
    <row r="36" spans="1:21" ht="15">
      <c r="B36" s="30"/>
      <c r="C36" s="30"/>
      <c r="D36" s="30"/>
      <c r="E36" s="30"/>
      <c r="F36" s="30"/>
      <c r="G36" s="30"/>
      <c r="H36" s="30"/>
      <c r="I36" s="30"/>
      <c r="J36" s="30"/>
      <c r="K36" s="30"/>
      <c r="L36" s="30"/>
      <c r="M36" s="30"/>
      <c r="N36" s="30"/>
      <c r="O36" s="30"/>
      <c r="P36" s="30"/>
      <c r="Q36" s="30"/>
      <c r="R36" s="30"/>
      <c r="S36" s="30"/>
      <c r="T36" s="30"/>
      <c r="U36" s="30"/>
    </row>
    <row r="37" spans="1:21" ht="15">
      <c r="B37" s="73" t="s">
        <v>594</v>
      </c>
      <c r="C37" s="30"/>
      <c r="D37" s="30"/>
      <c r="E37" s="146">
        <f>(3.1415*O37*O38*(O39/1000)*7850)+650</f>
        <v>9068.6953695000011</v>
      </c>
      <c r="F37" s="274" t="s">
        <v>256</v>
      </c>
      <c r="G37" s="392" t="str">
        <f>'Bottom &amp; Annular plate design'!T69</f>
        <v xml:space="preserve"> (650 kg overl lap)</v>
      </c>
      <c r="H37" s="392"/>
      <c r="I37" s="392"/>
      <c r="J37" s="392"/>
      <c r="K37" s="30"/>
      <c r="L37" s="30" t="s">
        <v>597</v>
      </c>
      <c r="M37" s="30"/>
      <c r="N37" s="30"/>
      <c r="O37" s="72">
        <f>COVER!H153/2000</f>
        <v>6.5</v>
      </c>
      <c r="P37" s="26" t="s">
        <v>258</v>
      </c>
      <c r="Q37" s="30"/>
      <c r="R37" s="30"/>
      <c r="S37" s="30"/>
      <c r="T37" s="30"/>
      <c r="U37" s="30"/>
    </row>
    <row r="38" spans="1:21" ht="18">
      <c r="B38" s="30" t="s">
        <v>793</v>
      </c>
      <c r="C38" s="30"/>
      <c r="D38" s="30"/>
      <c r="E38" s="147">
        <v>4250</v>
      </c>
      <c r="F38" s="274"/>
      <c r="L38" s="30" t="s">
        <v>598</v>
      </c>
      <c r="O38" s="72">
        <f>O37*1.01</f>
        <v>6.5650000000000004</v>
      </c>
      <c r="P38" s="26" t="s">
        <v>258</v>
      </c>
    </row>
    <row r="39" spans="1:21" ht="15">
      <c r="B39" s="30" t="s">
        <v>595</v>
      </c>
      <c r="C39" s="26"/>
      <c r="D39" s="30"/>
      <c r="E39" s="7">
        <v>0</v>
      </c>
      <c r="F39" s="274"/>
      <c r="L39" s="30" t="s">
        <v>599</v>
      </c>
      <c r="O39" s="72">
        <f>Q27</f>
        <v>8</v>
      </c>
      <c r="P39" s="26" t="s">
        <v>29</v>
      </c>
      <c r="Q39" s="3"/>
      <c r="R39" s="3"/>
      <c r="S39" s="3"/>
      <c r="T39" s="3"/>
    </row>
    <row r="40" spans="1:21" ht="15">
      <c r="B40" s="382" t="s">
        <v>596</v>
      </c>
      <c r="C40" s="382"/>
      <c r="D40" s="382"/>
      <c r="E40" s="148">
        <f>SUM(E37:E39)</f>
        <v>13318.695369500001</v>
      </c>
      <c r="F40" s="274"/>
      <c r="L40" s="30" t="s">
        <v>600</v>
      </c>
      <c r="O40" s="72">
        <v>0</v>
      </c>
      <c r="P40" s="26" t="s">
        <v>29</v>
      </c>
      <c r="Q40" s="3"/>
      <c r="R40" s="3"/>
      <c r="S40" s="3"/>
      <c r="T40" s="3"/>
    </row>
    <row r="41" spans="1:21">
      <c r="B41" s="62"/>
      <c r="C41" s="62"/>
      <c r="D41" s="64"/>
    </row>
    <row r="42" spans="1:21" ht="15">
      <c r="B42" s="62"/>
      <c r="C42" s="62"/>
      <c r="M42" s="30"/>
      <c r="N42" s="30"/>
      <c r="O42" s="30"/>
      <c r="P42" s="30"/>
      <c r="Q42" s="30"/>
      <c r="R42" s="30"/>
      <c r="S42" s="30"/>
      <c r="T42" s="30"/>
      <c r="U42" s="30"/>
    </row>
    <row r="43" spans="1:21" ht="15">
      <c r="L43" s="63"/>
      <c r="M43">
        <f>TAN(RADIANS(5.7))</f>
        <v>9.9813269471482016E-2</v>
      </c>
    </row>
    <row r="44" spans="1:21" ht="15">
      <c r="B44" t="s">
        <v>794</v>
      </c>
      <c r="L44" s="24"/>
    </row>
    <row r="45" spans="1:21" ht="15">
      <c r="L45" s="63"/>
    </row>
    <row r="46" spans="1:21" ht="15">
      <c r="L46" s="24"/>
    </row>
    <row r="47" spans="1:21" ht="15">
      <c r="B47" s="13"/>
      <c r="C47" s="13"/>
      <c r="D47" s="13"/>
      <c r="E47" s="13"/>
      <c r="F47" s="13"/>
      <c r="G47" s="13"/>
      <c r="H47" s="13"/>
      <c r="I47" s="13"/>
      <c r="J47" s="13"/>
      <c r="K47" s="13"/>
      <c r="L47" s="41"/>
    </row>
    <row r="85" spans="6:6" ht="399">
      <c r="F85" s="155" t="s">
        <v>886</v>
      </c>
    </row>
    <row r="133" spans="6:6" ht="399">
      <c r="F133" s="155" t="s">
        <v>886</v>
      </c>
    </row>
    <row r="190" spans="6:6" ht="399">
      <c r="F190" s="155" t="s">
        <v>886</v>
      </c>
    </row>
  </sheetData>
  <mergeCells count="29">
    <mergeCell ref="F6:Q6"/>
    <mergeCell ref="A1:E6"/>
    <mergeCell ref="R1:V6"/>
    <mergeCell ref="F1:Q5"/>
    <mergeCell ref="K7:L7"/>
    <mergeCell ref="N7:O7"/>
    <mergeCell ref="R7:R8"/>
    <mergeCell ref="S7:S8"/>
    <mergeCell ref="U7:V8"/>
    <mergeCell ref="A8:E8"/>
    <mergeCell ref="G8:H8"/>
    <mergeCell ref="I8:J8"/>
    <mergeCell ref="T7:T8"/>
    <mergeCell ref="A7:E7"/>
    <mergeCell ref="G7:H7"/>
    <mergeCell ref="I7:J7"/>
    <mergeCell ref="B9:G10"/>
    <mergeCell ref="K8:L8"/>
    <mergeCell ref="B34:Q34"/>
    <mergeCell ref="N8:O8"/>
    <mergeCell ref="D11:I11"/>
    <mergeCell ref="B40:D40"/>
    <mergeCell ref="F37:F40"/>
    <mergeCell ref="C26:G26"/>
    <mergeCell ref="B12:E12"/>
    <mergeCell ref="B13:U15"/>
    <mergeCell ref="B16:E16"/>
    <mergeCell ref="B17:U23"/>
    <mergeCell ref="G37:J37"/>
  </mergeCells>
  <printOptions horizontalCentered="1"/>
  <pageMargins left="9.8425196850393706E-2" right="9.8425196850393706E-2" top="0.19685039370078741" bottom="0" header="0.11811023622047245" footer="0.11811023622047245"/>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80"/>
  <sheetViews>
    <sheetView topLeftCell="A60" zoomScaleNormal="100" workbookViewId="0">
      <selection activeCell="J74" sqref="J74:U75"/>
    </sheetView>
  </sheetViews>
  <sheetFormatPr defaultRowHeight="14.25"/>
  <cols>
    <col min="1" max="22" width="4.625" customWidth="1"/>
  </cols>
  <sheetData>
    <row r="1" spans="1:22" ht="15" customHeight="1">
      <c r="A1" s="396"/>
      <c r="B1" s="396"/>
      <c r="C1" s="396"/>
      <c r="D1" s="396"/>
      <c r="E1" s="396"/>
      <c r="F1" s="394" t="e">
        <f>'Bottom &amp; Annular plate design'!#REF!</f>
        <v>#REF!</v>
      </c>
      <c r="G1" s="394"/>
      <c r="H1" s="394"/>
      <c r="I1" s="394"/>
      <c r="J1" s="394"/>
      <c r="K1" s="394"/>
      <c r="L1" s="394"/>
      <c r="M1" s="394"/>
      <c r="N1" s="394"/>
      <c r="O1" s="394"/>
      <c r="P1" s="394"/>
      <c r="Q1" s="394"/>
      <c r="R1" s="396"/>
      <c r="S1" s="396"/>
      <c r="T1" s="396"/>
      <c r="U1" s="396"/>
      <c r="V1" s="396"/>
    </row>
    <row r="2" spans="1:22" ht="15" customHeight="1">
      <c r="A2" s="396"/>
      <c r="B2" s="396"/>
      <c r="C2" s="396"/>
      <c r="D2" s="396"/>
      <c r="E2" s="396"/>
      <c r="F2" s="394"/>
      <c r="G2" s="394"/>
      <c r="H2" s="394"/>
      <c r="I2" s="394"/>
      <c r="J2" s="394"/>
      <c r="K2" s="394"/>
      <c r="L2" s="394"/>
      <c r="M2" s="394"/>
      <c r="N2" s="394"/>
      <c r="O2" s="394"/>
      <c r="P2" s="394"/>
      <c r="Q2" s="394"/>
      <c r="R2" s="396"/>
      <c r="S2" s="396"/>
      <c r="T2" s="396"/>
      <c r="U2" s="396"/>
      <c r="V2" s="396"/>
    </row>
    <row r="3" spans="1:22" ht="15" customHeight="1">
      <c r="A3" s="396"/>
      <c r="B3" s="396"/>
      <c r="C3" s="396"/>
      <c r="D3" s="396"/>
      <c r="E3" s="396"/>
      <c r="F3" s="394"/>
      <c r="G3" s="394"/>
      <c r="H3" s="394"/>
      <c r="I3" s="394"/>
      <c r="J3" s="394"/>
      <c r="K3" s="394"/>
      <c r="L3" s="394"/>
      <c r="M3" s="394"/>
      <c r="N3" s="394"/>
      <c r="O3" s="394"/>
      <c r="P3" s="394"/>
      <c r="Q3" s="394"/>
      <c r="R3" s="396"/>
      <c r="S3" s="396"/>
      <c r="T3" s="396"/>
      <c r="U3" s="396"/>
      <c r="V3" s="396"/>
    </row>
    <row r="4" spans="1:22" ht="15" customHeight="1">
      <c r="A4" s="396"/>
      <c r="B4" s="396"/>
      <c r="C4" s="396"/>
      <c r="D4" s="396"/>
      <c r="E4" s="396"/>
      <c r="F4" s="394"/>
      <c r="G4" s="394"/>
      <c r="H4" s="394"/>
      <c r="I4" s="394"/>
      <c r="J4" s="394"/>
      <c r="K4" s="394"/>
      <c r="L4" s="394"/>
      <c r="M4" s="394"/>
      <c r="N4" s="394"/>
      <c r="O4" s="394"/>
      <c r="P4" s="394"/>
      <c r="Q4" s="394"/>
      <c r="R4" s="396"/>
      <c r="S4" s="396"/>
      <c r="T4" s="396"/>
      <c r="U4" s="396"/>
      <c r="V4" s="396"/>
    </row>
    <row r="5" spans="1:22" ht="15" customHeight="1">
      <c r="A5" s="396"/>
      <c r="B5" s="396"/>
      <c r="C5" s="396"/>
      <c r="D5" s="396"/>
      <c r="E5" s="396"/>
      <c r="F5" s="402" t="s">
        <v>209</v>
      </c>
      <c r="G5" s="402"/>
      <c r="H5" s="402"/>
      <c r="I5" s="402"/>
      <c r="J5" s="402"/>
      <c r="K5" s="402"/>
      <c r="L5" s="402"/>
      <c r="M5" s="402"/>
      <c r="N5" s="402"/>
      <c r="O5" s="402"/>
      <c r="P5" s="402"/>
      <c r="Q5" s="402"/>
      <c r="R5" s="396"/>
      <c r="S5" s="396"/>
      <c r="T5" s="396"/>
      <c r="U5" s="396"/>
      <c r="V5" s="396"/>
    </row>
    <row r="6" spans="1:22" ht="15" customHeight="1">
      <c r="A6" s="402" t="e">
        <f>'Shell Plate Design '!#REF!</f>
        <v>#REF!</v>
      </c>
      <c r="B6" s="402"/>
      <c r="C6" s="402"/>
      <c r="D6" s="402"/>
      <c r="E6" s="402"/>
      <c r="F6" s="403" t="e">
        <f>'Bottom &amp; Annular plate design'!#REF!</f>
        <v>#REF!</v>
      </c>
      <c r="G6" s="404"/>
      <c r="H6" s="404"/>
      <c r="I6" s="404"/>
      <c r="J6" s="404"/>
      <c r="K6" s="404"/>
      <c r="L6" s="404"/>
      <c r="M6" s="404"/>
      <c r="N6" s="404"/>
      <c r="O6" s="404"/>
      <c r="P6" s="404"/>
      <c r="Q6" s="405"/>
      <c r="R6" s="402" t="s">
        <v>208</v>
      </c>
      <c r="S6" s="402"/>
      <c r="T6" s="402"/>
      <c r="U6" s="402"/>
      <c r="V6" s="402"/>
    </row>
    <row r="7" spans="1:22">
      <c r="A7" s="402"/>
      <c r="B7" s="402"/>
      <c r="C7" s="402"/>
      <c r="D7" s="402"/>
      <c r="E7" s="402"/>
      <c r="F7" s="406"/>
      <c r="G7" s="407"/>
      <c r="H7" s="407"/>
      <c r="I7" s="407"/>
      <c r="J7" s="407"/>
      <c r="K7" s="407"/>
      <c r="L7" s="407"/>
      <c r="M7" s="407"/>
      <c r="N7" s="407"/>
      <c r="O7" s="407"/>
      <c r="P7" s="407"/>
      <c r="Q7" s="408"/>
      <c r="R7" s="402"/>
      <c r="S7" s="402"/>
      <c r="T7" s="402"/>
      <c r="U7" s="402"/>
      <c r="V7" s="402"/>
    </row>
    <row r="8" spans="1:22">
      <c r="A8" s="397" t="s">
        <v>144</v>
      </c>
      <c r="B8" s="397"/>
      <c r="C8" s="397"/>
      <c r="D8" s="397"/>
      <c r="E8" s="397"/>
      <c r="F8" s="397"/>
      <c r="G8" s="10"/>
      <c r="H8" s="10"/>
      <c r="I8" s="10"/>
      <c r="J8" s="10"/>
      <c r="K8" s="10"/>
      <c r="L8" s="10"/>
      <c r="M8" s="10"/>
      <c r="N8" s="10"/>
      <c r="O8" s="10"/>
      <c r="P8" s="10"/>
      <c r="Q8" s="10"/>
      <c r="R8" s="10"/>
      <c r="S8" s="10"/>
      <c r="T8" s="10"/>
      <c r="U8" s="10"/>
      <c r="V8" s="10"/>
    </row>
    <row r="9" spans="1:22">
      <c r="A9" s="398"/>
      <c r="B9" s="398"/>
      <c r="C9" s="398"/>
      <c r="D9" s="398"/>
      <c r="E9" s="398"/>
      <c r="F9" s="398"/>
    </row>
    <row r="10" spans="1:22">
      <c r="A10" s="399" t="s">
        <v>145</v>
      </c>
      <c r="B10" s="400"/>
      <c r="C10" s="400"/>
      <c r="D10" s="400"/>
      <c r="E10" s="400"/>
      <c r="F10" s="400"/>
      <c r="G10" s="400"/>
      <c r="H10" s="400"/>
      <c r="I10" s="400"/>
      <c r="J10" s="400"/>
      <c r="K10" s="400"/>
      <c r="L10" s="400"/>
      <c r="M10" s="400"/>
      <c r="N10" s="400"/>
      <c r="O10" s="400"/>
      <c r="P10" s="400"/>
      <c r="Q10" s="400"/>
      <c r="R10" s="400"/>
      <c r="S10" s="400"/>
      <c r="T10" s="400"/>
      <c r="U10" s="400"/>
      <c r="V10" s="400"/>
    </row>
    <row r="11" spans="1:22">
      <c r="A11" s="400"/>
      <c r="B11" s="400"/>
      <c r="C11" s="400"/>
      <c r="D11" s="400"/>
      <c r="E11" s="400"/>
      <c r="F11" s="400"/>
      <c r="G11" s="400"/>
      <c r="H11" s="400"/>
      <c r="I11" s="400"/>
      <c r="J11" s="400"/>
      <c r="K11" s="400"/>
      <c r="L11" s="400"/>
      <c r="M11" s="400"/>
      <c r="N11" s="400"/>
      <c r="O11" s="400"/>
      <c r="P11" s="400"/>
      <c r="Q11" s="400"/>
      <c r="R11" s="400"/>
      <c r="S11" s="400"/>
      <c r="T11" s="400"/>
      <c r="U11" s="400"/>
      <c r="V11" s="400"/>
    </row>
    <row r="12" spans="1:22">
      <c r="A12" s="400"/>
      <c r="B12" s="400"/>
      <c r="C12" s="400"/>
      <c r="D12" s="400"/>
      <c r="E12" s="400"/>
      <c r="F12" s="400"/>
      <c r="G12" s="400"/>
      <c r="H12" s="400"/>
      <c r="I12" s="400"/>
      <c r="J12" s="400"/>
      <c r="K12" s="400"/>
      <c r="L12" s="400"/>
      <c r="M12" s="400"/>
      <c r="N12" s="400"/>
      <c r="O12" s="400"/>
      <c r="P12" s="400"/>
      <c r="Q12" s="400"/>
      <c r="R12" s="400"/>
      <c r="S12" s="400"/>
      <c r="T12" s="400"/>
      <c r="U12" s="400"/>
      <c r="V12" s="400"/>
    </row>
    <row r="13" spans="1:22">
      <c r="A13" s="400"/>
      <c r="B13" s="400"/>
      <c r="C13" s="400"/>
      <c r="D13" s="400"/>
      <c r="E13" s="400"/>
      <c r="F13" s="400"/>
      <c r="G13" s="400"/>
      <c r="H13" s="400"/>
      <c r="I13" s="400"/>
      <c r="J13" s="400"/>
      <c r="K13" s="400"/>
      <c r="L13" s="400"/>
      <c r="M13" s="400"/>
      <c r="N13" s="400"/>
      <c r="O13" s="400"/>
      <c r="P13" s="400"/>
      <c r="Q13" s="400"/>
      <c r="R13" s="400"/>
      <c r="S13" s="400"/>
      <c r="T13" s="400"/>
      <c r="U13" s="400"/>
      <c r="V13" s="400"/>
    </row>
    <row r="14" spans="1:22">
      <c r="A14" s="400"/>
      <c r="B14" s="400"/>
      <c r="C14" s="400"/>
      <c r="D14" s="400"/>
      <c r="E14" s="400"/>
      <c r="F14" s="400"/>
      <c r="G14" s="400"/>
      <c r="H14" s="400"/>
      <c r="I14" s="400"/>
      <c r="J14" s="400"/>
      <c r="K14" s="400"/>
      <c r="L14" s="400"/>
      <c r="M14" s="400"/>
      <c r="N14" s="400"/>
      <c r="O14" s="400"/>
      <c r="P14" s="400"/>
      <c r="Q14" s="400"/>
      <c r="R14" s="400"/>
      <c r="S14" s="400"/>
      <c r="T14" s="400"/>
      <c r="U14" s="400"/>
      <c r="V14" s="400"/>
    </row>
    <row r="15" spans="1:22">
      <c r="A15" s="400"/>
      <c r="B15" s="400"/>
      <c r="C15" s="400"/>
      <c r="D15" s="400"/>
      <c r="E15" s="400"/>
      <c r="F15" s="400"/>
      <c r="G15" s="400"/>
      <c r="H15" s="400"/>
      <c r="I15" s="400"/>
      <c r="J15" s="400"/>
      <c r="K15" s="400"/>
      <c r="L15" s="400"/>
      <c r="M15" s="400"/>
      <c r="N15" s="400"/>
      <c r="O15" s="400"/>
      <c r="P15" s="400"/>
      <c r="Q15" s="400"/>
      <c r="R15" s="400"/>
      <c r="S15" s="400"/>
      <c r="T15" s="400"/>
      <c r="U15" s="400"/>
      <c r="V15" s="400"/>
    </row>
    <row r="17" spans="2:20">
      <c r="B17" s="274" t="s">
        <v>146</v>
      </c>
      <c r="C17" s="274"/>
      <c r="D17" s="274"/>
      <c r="E17" s="274"/>
      <c r="F17" s="274"/>
      <c r="G17" s="274"/>
      <c r="H17" s="274"/>
      <c r="I17" s="274"/>
      <c r="J17" s="274"/>
      <c r="K17" s="274" t="s">
        <v>147</v>
      </c>
      <c r="L17" s="274"/>
      <c r="M17" s="274"/>
      <c r="N17" s="274"/>
      <c r="O17" s="274"/>
      <c r="P17" s="274"/>
      <c r="Q17" s="274"/>
      <c r="R17" s="274"/>
      <c r="S17" s="274"/>
      <c r="T17" s="274"/>
    </row>
    <row r="18" spans="2:20">
      <c r="B18" s="274"/>
      <c r="C18" s="274"/>
      <c r="D18" s="274"/>
      <c r="E18" s="274"/>
      <c r="F18" s="274"/>
      <c r="G18" s="274"/>
      <c r="H18" s="274"/>
      <c r="I18" s="274"/>
      <c r="J18" s="274"/>
      <c r="K18" s="274"/>
      <c r="L18" s="274"/>
      <c r="M18" s="274"/>
      <c r="N18" s="274"/>
      <c r="O18" s="274"/>
      <c r="P18" s="274"/>
      <c r="Q18" s="274"/>
      <c r="R18" s="274"/>
      <c r="S18" s="274"/>
      <c r="T18" s="274"/>
    </row>
    <row r="19" spans="2:20">
      <c r="B19" s="274" t="s">
        <v>212</v>
      </c>
      <c r="C19" s="274"/>
      <c r="D19" s="274"/>
      <c r="E19" s="274"/>
      <c r="F19" s="274"/>
      <c r="G19" s="274"/>
      <c r="H19" s="274"/>
      <c r="I19" s="274"/>
      <c r="J19" s="274"/>
      <c r="K19" s="274"/>
      <c r="L19" s="274"/>
      <c r="M19" s="274"/>
      <c r="N19" s="274"/>
      <c r="O19" s="274"/>
    </row>
    <row r="20" spans="2:20">
      <c r="B20" s="274"/>
      <c r="C20" s="274"/>
      <c r="D20" s="274"/>
      <c r="E20" s="274"/>
      <c r="F20" s="274"/>
      <c r="G20" s="274"/>
      <c r="H20" s="274"/>
      <c r="I20" s="274"/>
      <c r="J20" s="274"/>
      <c r="K20" s="274"/>
      <c r="L20" s="274"/>
      <c r="M20" s="274"/>
      <c r="N20" s="274"/>
      <c r="O20" s="274"/>
    </row>
    <row r="21" spans="2:20">
      <c r="B21" s="274" t="s">
        <v>148</v>
      </c>
      <c r="C21" s="274"/>
      <c r="D21" s="274"/>
      <c r="E21" s="274"/>
    </row>
    <row r="22" spans="2:20">
      <c r="B22" s="274"/>
      <c r="C22" s="274"/>
      <c r="D22" s="274"/>
      <c r="E22" s="274"/>
    </row>
    <row r="24" spans="2:20">
      <c r="B24" s="401" t="s">
        <v>146</v>
      </c>
      <c r="C24" s="401"/>
      <c r="D24" s="401"/>
      <c r="E24" s="401"/>
      <c r="F24" s="401"/>
      <c r="G24" s="401"/>
      <c r="H24" s="401"/>
      <c r="I24" s="401"/>
      <c r="J24" s="274" t="s">
        <v>149</v>
      </c>
      <c r="K24" s="274"/>
      <c r="L24" s="274">
        <v>6</v>
      </c>
      <c r="M24" s="274"/>
      <c r="N24" s="274" t="s">
        <v>29</v>
      </c>
      <c r="O24" s="274"/>
    </row>
    <row r="25" spans="2:20">
      <c r="B25" s="401"/>
      <c r="C25" s="401"/>
      <c r="D25" s="401"/>
      <c r="E25" s="401"/>
      <c r="F25" s="401"/>
      <c r="G25" s="401"/>
      <c r="H25" s="401"/>
      <c r="I25" s="401"/>
      <c r="J25" s="274"/>
      <c r="K25" s="274"/>
      <c r="L25" s="274"/>
      <c r="M25" s="274"/>
      <c r="N25" s="274"/>
      <c r="O25" s="274"/>
    </row>
    <row r="26" spans="2:20">
      <c r="B26" s="274" t="s">
        <v>150</v>
      </c>
      <c r="C26" s="274"/>
      <c r="D26" s="274"/>
      <c r="E26" s="274"/>
      <c r="F26" s="274"/>
      <c r="G26" s="274"/>
      <c r="H26" s="274"/>
      <c r="I26" s="274"/>
      <c r="J26" s="353"/>
      <c r="K26" s="353"/>
      <c r="L26" s="274">
        <v>6</v>
      </c>
      <c r="M26" s="274"/>
      <c r="N26" s="274" t="s">
        <v>151</v>
      </c>
      <c r="O26" s="274"/>
    </row>
    <row r="27" spans="2:20">
      <c r="B27" s="274"/>
      <c r="C27" s="274"/>
      <c r="D27" s="274"/>
      <c r="E27" s="274"/>
      <c r="F27" s="274"/>
      <c r="G27" s="274"/>
      <c r="H27" s="274"/>
      <c r="I27" s="274"/>
      <c r="J27" s="353"/>
      <c r="K27" s="353"/>
      <c r="L27" s="274"/>
      <c r="M27" s="274"/>
      <c r="N27" s="274"/>
      <c r="O27" s="274"/>
    </row>
    <row r="28" spans="2:20">
      <c r="B28" s="274" t="s">
        <v>152</v>
      </c>
      <c r="C28" s="274"/>
      <c r="D28" s="274"/>
      <c r="E28" s="274"/>
      <c r="F28" s="274"/>
      <c r="G28" s="274"/>
      <c r="H28" s="274"/>
      <c r="I28" s="274"/>
      <c r="J28" s="274">
        <f>(3.1415*((COVER!H153+(100))/1000)^2/4)*7.85*L24</f>
        <v>6348.0533966249986</v>
      </c>
      <c r="K28" s="274"/>
      <c r="L28" s="274"/>
      <c r="M28" s="274"/>
      <c r="N28" s="274" t="s">
        <v>153</v>
      </c>
      <c r="O28" s="274"/>
    </row>
    <row r="29" spans="2:20">
      <c r="B29" s="274"/>
      <c r="C29" s="274"/>
      <c r="D29" s="274"/>
      <c r="E29" s="274"/>
      <c r="F29" s="274"/>
      <c r="G29" s="274"/>
      <c r="H29" s="274"/>
      <c r="I29" s="274"/>
      <c r="J29" s="274"/>
      <c r="K29" s="274"/>
      <c r="L29" s="274"/>
      <c r="M29" s="274"/>
      <c r="N29" s="274"/>
      <c r="O29" s="274"/>
    </row>
    <row r="30" spans="2:20">
      <c r="B30" s="274" t="s">
        <v>11</v>
      </c>
      <c r="C30" s="274"/>
      <c r="D30" s="274"/>
      <c r="E30" s="274"/>
      <c r="F30" s="274"/>
      <c r="G30" s="274"/>
      <c r="H30" s="274"/>
      <c r="I30" s="274"/>
      <c r="J30" s="274">
        <v>17</v>
      </c>
      <c r="K30" s="274"/>
      <c r="L30" s="274" t="s">
        <v>70</v>
      </c>
      <c r="M30" s="274"/>
    </row>
    <row r="31" spans="2:20">
      <c r="B31" s="274"/>
      <c r="C31" s="274"/>
      <c r="D31" s="274"/>
      <c r="E31" s="274"/>
      <c r="F31" s="274"/>
      <c r="G31" s="274"/>
      <c r="H31" s="274"/>
      <c r="I31" s="274"/>
      <c r="J31" s="274"/>
      <c r="K31" s="274"/>
      <c r="L31" s="274"/>
      <c r="M31" s="274"/>
    </row>
    <row r="32" spans="2:20">
      <c r="B32" s="274" t="s">
        <v>154</v>
      </c>
      <c r="C32" s="274"/>
      <c r="D32" s="274"/>
      <c r="E32" s="274"/>
      <c r="F32" s="274"/>
      <c r="G32" s="274"/>
      <c r="H32" s="274"/>
      <c r="I32" s="274"/>
      <c r="J32" s="274">
        <f>(J28*0.03)+J28</f>
        <v>6538.494998523749</v>
      </c>
      <c r="K32" s="274"/>
      <c r="L32" s="274" t="s">
        <v>153</v>
      </c>
      <c r="M32" s="274"/>
    </row>
    <row r="33" spans="1:22">
      <c r="B33" s="274"/>
      <c r="C33" s="274"/>
      <c r="D33" s="274"/>
      <c r="E33" s="274"/>
      <c r="F33" s="274"/>
      <c r="G33" s="274"/>
      <c r="H33" s="274"/>
      <c r="I33" s="274"/>
      <c r="J33" s="274"/>
      <c r="K33" s="274"/>
      <c r="L33" s="274"/>
      <c r="M33" s="274"/>
    </row>
    <row r="34" spans="1:22">
      <c r="B34" s="353" t="s">
        <v>155</v>
      </c>
      <c r="C34" s="353"/>
      <c r="D34" s="353"/>
      <c r="E34" s="353"/>
      <c r="F34" s="353"/>
      <c r="G34" s="353"/>
      <c r="H34" s="353"/>
      <c r="I34" s="353"/>
    </row>
    <row r="35" spans="1:22">
      <c r="B35" s="353"/>
      <c r="C35" s="353"/>
      <c r="D35" s="353"/>
      <c r="E35" s="353"/>
      <c r="F35" s="353"/>
      <c r="G35" s="353"/>
      <c r="H35" s="353"/>
      <c r="I35" s="353"/>
    </row>
    <row r="36" spans="1:22">
      <c r="B36" s="274" t="s">
        <v>156</v>
      </c>
      <c r="C36" s="274"/>
      <c r="D36" s="274"/>
      <c r="E36" s="274"/>
      <c r="F36" s="274"/>
      <c r="G36" s="274"/>
      <c r="H36" s="274"/>
      <c r="I36" s="274"/>
      <c r="J36" s="274"/>
      <c r="K36" s="274"/>
      <c r="L36" s="274"/>
      <c r="M36" s="274"/>
      <c r="N36" s="274"/>
      <c r="O36" s="274"/>
      <c r="P36" s="274"/>
      <c r="Q36" s="274"/>
      <c r="R36" s="274"/>
    </row>
    <row r="37" spans="1:22">
      <c r="B37" s="274"/>
      <c r="C37" s="274"/>
      <c r="D37" s="274"/>
      <c r="E37" s="274"/>
      <c r="F37" s="274"/>
      <c r="G37" s="274"/>
      <c r="H37" s="274"/>
      <c r="I37" s="274"/>
      <c r="J37" s="274"/>
      <c r="K37" s="274"/>
      <c r="L37" s="274"/>
      <c r="M37" s="274"/>
      <c r="N37" s="274"/>
      <c r="O37" s="274"/>
      <c r="P37" s="274"/>
      <c r="Q37" s="274"/>
      <c r="R37" s="274"/>
    </row>
    <row r="38" spans="1:22">
      <c r="B38" s="274" t="s">
        <v>157</v>
      </c>
      <c r="C38" s="274"/>
      <c r="D38" s="274"/>
      <c r="E38" s="274"/>
      <c r="F38" s="274"/>
      <c r="G38" s="274"/>
      <c r="H38" s="274"/>
      <c r="I38" s="274"/>
      <c r="J38" s="274">
        <f>((3.1415*J30^2)/4)*7.85*5</f>
        <v>8908.7049687500003</v>
      </c>
      <c r="K38" s="274"/>
      <c r="L38" s="274"/>
      <c r="M38" s="274" t="s">
        <v>153</v>
      </c>
      <c r="N38" s="274"/>
    </row>
    <row r="39" spans="1:22">
      <c r="B39" s="274"/>
      <c r="C39" s="274"/>
      <c r="D39" s="274"/>
      <c r="E39" s="274"/>
      <c r="F39" s="274"/>
      <c r="G39" s="274"/>
      <c r="H39" s="274"/>
      <c r="I39" s="274"/>
      <c r="J39" s="274"/>
      <c r="K39" s="274"/>
      <c r="L39" s="274"/>
      <c r="M39" s="274"/>
      <c r="N39" s="274"/>
    </row>
    <row r="40" spans="1:22">
      <c r="B40" s="274" t="s">
        <v>158</v>
      </c>
      <c r="C40" s="274"/>
      <c r="D40" s="274"/>
      <c r="E40" s="274"/>
      <c r="F40" s="274"/>
      <c r="G40" s="274"/>
      <c r="H40" s="274"/>
      <c r="I40" s="274"/>
      <c r="J40" s="395">
        <f>J32*0.9</f>
        <v>5884.6454986713743</v>
      </c>
      <c r="K40" s="395"/>
      <c r="L40" s="395"/>
      <c r="M40" s="274" t="s">
        <v>153</v>
      </c>
      <c r="N40" s="274"/>
    </row>
    <row r="41" spans="1:22">
      <c r="B41" s="274"/>
      <c r="C41" s="274"/>
      <c r="D41" s="274"/>
      <c r="E41" s="274"/>
      <c r="F41" s="274"/>
      <c r="G41" s="274"/>
      <c r="H41" s="274"/>
      <c r="I41" s="274"/>
      <c r="J41" s="395"/>
      <c r="K41" s="395"/>
      <c r="L41" s="395"/>
      <c r="M41" s="274"/>
      <c r="N41" s="274"/>
    </row>
    <row r="42" spans="1:22">
      <c r="B42" s="274" t="s">
        <v>245</v>
      </c>
      <c r="C42" s="274"/>
      <c r="D42" s="274"/>
      <c r="E42" s="274"/>
      <c r="F42" s="274"/>
      <c r="G42" s="274"/>
      <c r="H42" s="274"/>
      <c r="I42" s="274"/>
      <c r="J42" s="274">
        <f>J32+J40+J44+J46</f>
        <v>14423.140497195123</v>
      </c>
      <c r="K42" s="274"/>
      <c r="L42" s="274"/>
      <c r="M42" s="274" t="s">
        <v>153</v>
      </c>
      <c r="N42" s="274"/>
    </row>
    <row r="43" spans="1:22">
      <c r="B43" s="274"/>
      <c r="C43" s="274"/>
      <c r="D43" s="274"/>
      <c r="E43" s="274"/>
      <c r="F43" s="274"/>
      <c r="G43" s="274"/>
      <c r="H43" s="274"/>
      <c r="I43" s="274"/>
      <c r="J43" s="274"/>
      <c r="K43" s="274"/>
      <c r="L43" s="274"/>
      <c r="M43" s="274"/>
      <c r="N43" s="274"/>
    </row>
    <row r="44" spans="1:22">
      <c r="C44" s="274" t="s">
        <v>254</v>
      </c>
      <c r="D44" s="274"/>
      <c r="E44" s="274"/>
      <c r="F44" s="274"/>
      <c r="G44" s="274"/>
      <c r="H44" s="3"/>
      <c r="I44" s="3"/>
      <c r="J44" s="274">
        <v>1000</v>
      </c>
      <c r="K44" s="274"/>
      <c r="L44" s="274"/>
      <c r="M44" s="274" t="s">
        <v>153</v>
      </c>
      <c r="N44" s="274"/>
    </row>
    <row r="45" spans="1:22">
      <c r="C45" s="274"/>
      <c r="D45" s="274"/>
      <c r="E45" s="274"/>
      <c r="F45" s="274"/>
      <c r="G45" s="274"/>
      <c r="H45" s="3"/>
      <c r="I45" s="3"/>
      <c r="J45" s="274"/>
      <c r="K45" s="274"/>
      <c r="L45" s="274"/>
      <c r="M45" s="274"/>
      <c r="N45" s="274"/>
    </row>
    <row r="46" spans="1:22">
      <c r="C46" s="274" t="s">
        <v>255</v>
      </c>
      <c r="D46" s="274"/>
      <c r="E46" s="274"/>
      <c r="F46" s="274"/>
      <c r="G46" s="274"/>
      <c r="J46" s="274">
        <v>1000</v>
      </c>
      <c r="K46" s="274"/>
      <c r="L46" s="274"/>
      <c r="M46" s="353" t="s">
        <v>256</v>
      </c>
      <c r="N46" s="353"/>
    </row>
    <row r="47" spans="1:22">
      <c r="C47" s="274"/>
      <c r="D47" s="274"/>
      <c r="E47" s="274"/>
      <c r="F47" s="274"/>
      <c r="G47" s="274"/>
      <c r="J47" s="274"/>
      <c r="K47" s="274"/>
      <c r="L47" s="274"/>
      <c r="M47" s="353"/>
      <c r="N47" s="353"/>
    </row>
    <row r="48" spans="1:22">
      <c r="A48" s="396"/>
      <c r="B48" s="396"/>
      <c r="C48" s="396"/>
      <c r="D48" s="396"/>
      <c r="E48" s="396"/>
      <c r="F48" s="394" t="e">
        <f>'Bottom &amp; Annular plate design'!#REF!</f>
        <v>#REF!</v>
      </c>
      <c r="G48" s="394"/>
      <c r="H48" s="394"/>
      <c r="I48" s="394"/>
      <c r="J48" s="394"/>
      <c r="K48" s="394"/>
      <c r="L48" s="394"/>
      <c r="M48" s="394"/>
      <c r="N48" s="394"/>
      <c r="O48" s="394"/>
      <c r="P48" s="394"/>
      <c r="Q48" s="394"/>
      <c r="R48" s="396"/>
      <c r="S48" s="396"/>
      <c r="T48" s="396"/>
      <c r="U48" s="396"/>
      <c r="V48" s="396"/>
    </row>
    <row r="49" spans="1:22">
      <c r="A49" s="396"/>
      <c r="B49" s="396"/>
      <c r="C49" s="396"/>
      <c r="D49" s="396"/>
      <c r="E49" s="396"/>
      <c r="F49" s="394"/>
      <c r="G49" s="394"/>
      <c r="H49" s="394"/>
      <c r="I49" s="394"/>
      <c r="J49" s="394"/>
      <c r="K49" s="394"/>
      <c r="L49" s="394"/>
      <c r="M49" s="394"/>
      <c r="N49" s="394"/>
      <c r="O49" s="394"/>
      <c r="P49" s="394"/>
      <c r="Q49" s="394"/>
      <c r="R49" s="396"/>
      <c r="S49" s="396"/>
      <c r="T49" s="396"/>
      <c r="U49" s="396"/>
      <c r="V49" s="396"/>
    </row>
    <row r="50" spans="1:22">
      <c r="A50" s="396"/>
      <c r="B50" s="396"/>
      <c r="C50" s="396"/>
      <c r="D50" s="396"/>
      <c r="E50" s="396"/>
      <c r="F50" s="394"/>
      <c r="G50" s="394"/>
      <c r="H50" s="394"/>
      <c r="I50" s="394"/>
      <c r="J50" s="394"/>
      <c r="K50" s="394"/>
      <c r="L50" s="394"/>
      <c r="M50" s="394"/>
      <c r="N50" s="394"/>
      <c r="O50" s="394"/>
      <c r="P50" s="394"/>
      <c r="Q50" s="394"/>
      <c r="R50" s="396"/>
      <c r="S50" s="396"/>
      <c r="T50" s="396"/>
      <c r="U50" s="396"/>
      <c r="V50" s="396"/>
    </row>
    <row r="51" spans="1:22">
      <c r="A51" s="396"/>
      <c r="B51" s="396"/>
      <c r="C51" s="396"/>
      <c r="D51" s="396"/>
      <c r="E51" s="396"/>
      <c r="F51" s="394"/>
      <c r="G51" s="394"/>
      <c r="H51" s="394"/>
      <c r="I51" s="394"/>
      <c r="J51" s="394"/>
      <c r="K51" s="394"/>
      <c r="L51" s="394"/>
      <c r="M51" s="394"/>
      <c r="N51" s="394"/>
      <c r="O51" s="394"/>
      <c r="P51" s="394"/>
      <c r="Q51" s="394"/>
      <c r="R51" s="396"/>
      <c r="S51" s="396"/>
      <c r="T51" s="396"/>
      <c r="U51" s="396"/>
      <c r="V51" s="396"/>
    </row>
    <row r="52" spans="1:22" ht="15">
      <c r="A52" s="396"/>
      <c r="B52" s="396"/>
      <c r="C52" s="396"/>
      <c r="D52" s="396"/>
      <c r="E52" s="396"/>
      <c r="F52" s="402" t="s">
        <v>209</v>
      </c>
      <c r="G52" s="402"/>
      <c r="H52" s="402"/>
      <c r="I52" s="402"/>
      <c r="J52" s="402"/>
      <c r="K52" s="402"/>
      <c r="L52" s="402"/>
      <c r="M52" s="402"/>
      <c r="N52" s="402"/>
      <c r="O52" s="402"/>
      <c r="P52" s="402"/>
      <c r="Q52" s="402"/>
      <c r="R52" s="396"/>
      <c r="S52" s="396"/>
      <c r="T52" s="396"/>
      <c r="U52" s="396"/>
      <c r="V52" s="396"/>
    </row>
    <row r="53" spans="1:22">
      <c r="A53" s="402" t="e">
        <f>A6</f>
        <v>#REF!</v>
      </c>
      <c r="B53" s="402"/>
      <c r="C53" s="402"/>
      <c r="D53" s="402"/>
      <c r="E53" s="402"/>
      <c r="F53" s="403" t="e">
        <f>'Bottom &amp; Annular plate design'!#REF!</f>
        <v>#REF!</v>
      </c>
      <c r="G53" s="404"/>
      <c r="H53" s="404"/>
      <c r="I53" s="404"/>
      <c r="J53" s="404"/>
      <c r="K53" s="404"/>
      <c r="L53" s="404"/>
      <c r="M53" s="404"/>
      <c r="N53" s="404"/>
      <c r="O53" s="404"/>
      <c r="P53" s="404"/>
      <c r="Q53" s="405"/>
      <c r="R53" s="402" t="s">
        <v>295</v>
      </c>
      <c r="S53" s="402"/>
      <c r="T53" s="402"/>
      <c r="U53" s="402"/>
      <c r="V53" s="402"/>
    </row>
    <row r="54" spans="1:22">
      <c r="A54" s="402"/>
      <c r="B54" s="402"/>
      <c r="C54" s="402"/>
      <c r="D54" s="402"/>
      <c r="E54" s="402"/>
      <c r="F54" s="406"/>
      <c r="G54" s="407"/>
      <c r="H54" s="407"/>
      <c r="I54" s="407"/>
      <c r="J54" s="407"/>
      <c r="K54" s="407"/>
      <c r="L54" s="407"/>
      <c r="M54" s="407"/>
      <c r="N54" s="407"/>
      <c r="O54" s="407"/>
      <c r="P54" s="407"/>
      <c r="Q54" s="408"/>
      <c r="R54" s="402"/>
      <c r="S54" s="402"/>
      <c r="T54" s="402"/>
      <c r="U54" s="402"/>
      <c r="V54" s="402"/>
    </row>
    <row r="55" spans="1:22">
      <c r="A55" s="409" t="s">
        <v>304</v>
      </c>
      <c r="B55" s="409"/>
      <c r="C55" s="409"/>
      <c r="D55" s="409"/>
      <c r="E55" s="409"/>
    </row>
    <row r="56" spans="1:22">
      <c r="A56" s="410"/>
      <c r="B56" s="410"/>
      <c r="C56" s="410"/>
      <c r="D56" s="410"/>
      <c r="E56" s="410"/>
    </row>
    <row r="57" spans="1:22" ht="15" customHeight="1">
      <c r="A57" s="209" t="s">
        <v>37</v>
      </c>
      <c r="B57" s="209"/>
      <c r="C57" s="209"/>
      <c r="D57" s="411" t="s">
        <v>52</v>
      </c>
      <c r="E57" s="411"/>
      <c r="F57" s="411"/>
      <c r="G57" s="411"/>
      <c r="H57" s="411"/>
      <c r="I57" s="19"/>
      <c r="J57" s="410"/>
      <c r="K57" s="410"/>
      <c r="L57" s="410"/>
      <c r="M57" s="410"/>
      <c r="N57" s="410"/>
      <c r="O57" s="274">
        <f>((PI()^2)*(G73))/(((G77*G75)/(G69/10))^2)</f>
        <v>626.86948889285941</v>
      </c>
      <c r="P57" s="274"/>
      <c r="Q57" s="274"/>
      <c r="R57" s="274"/>
      <c r="S57" s="274"/>
      <c r="T57" s="19"/>
      <c r="U57" s="19"/>
      <c r="V57" s="19"/>
    </row>
    <row r="58" spans="1:22" ht="15" customHeight="1">
      <c r="A58" s="209"/>
      <c r="B58" s="209"/>
      <c r="C58" s="209"/>
      <c r="D58" s="411"/>
      <c r="E58" s="411"/>
      <c r="F58" s="411"/>
      <c r="G58" s="411"/>
      <c r="H58" s="411"/>
      <c r="I58" s="19"/>
      <c r="J58" s="410"/>
      <c r="K58" s="410"/>
      <c r="L58" s="410"/>
      <c r="M58" s="410"/>
      <c r="N58" s="410"/>
      <c r="O58" s="274"/>
      <c r="P58" s="274"/>
      <c r="Q58" s="274"/>
      <c r="R58" s="274"/>
      <c r="S58" s="274"/>
      <c r="T58" s="19"/>
      <c r="U58" s="19"/>
      <c r="V58" s="19"/>
    </row>
    <row r="59" spans="1:22" ht="15" customHeight="1">
      <c r="A59" s="412" t="s">
        <v>307</v>
      </c>
      <c r="B59" s="413"/>
      <c r="C59" s="209" t="s">
        <v>296</v>
      </c>
      <c r="D59" s="209"/>
      <c r="E59" s="218" t="s">
        <v>297</v>
      </c>
      <c r="F59" s="218"/>
      <c r="G59" s="218" t="s">
        <v>310</v>
      </c>
      <c r="H59" s="218"/>
      <c r="J59" s="410"/>
      <c r="K59" s="410"/>
      <c r="L59" s="410"/>
      <c r="M59" s="410"/>
      <c r="N59" s="410"/>
      <c r="O59" s="274"/>
      <c r="P59" s="274"/>
      <c r="Q59" s="274"/>
      <c r="R59" s="274"/>
      <c r="S59" s="274"/>
    </row>
    <row r="60" spans="1:22">
      <c r="A60" s="414"/>
      <c r="B60" s="415"/>
      <c r="C60" s="209"/>
      <c r="D60" s="209"/>
      <c r="E60" s="218" t="s">
        <v>69</v>
      </c>
      <c r="F60" s="218"/>
      <c r="G60" s="218">
        <v>323.8</v>
      </c>
      <c r="H60" s="218"/>
    </row>
    <row r="61" spans="1:22">
      <c r="A61" s="414"/>
      <c r="B61" s="415"/>
      <c r="C61" s="209" t="s">
        <v>298</v>
      </c>
      <c r="D61" s="209"/>
      <c r="E61" s="209" t="s">
        <v>69</v>
      </c>
      <c r="F61" s="209"/>
      <c r="G61" s="218">
        <v>10.31</v>
      </c>
      <c r="H61" s="218"/>
      <c r="J61" s="353"/>
      <c r="K61" s="353"/>
      <c r="L61" s="353"/>
      <c r="M61" s="353"/>
      <c r="N61" s="353"/>
      <c r="O61" s="274">
        <f>G65/O57</f>
        <v>2.3545570906742097</v>
      </c>
      <c r="P61" s="274"/>
      <c r="Q61" s="274"/>
      <c r="R61" s="274"/>
      <c r="S61" s="274"/>
    </row>
    <row r="62" spans="1:22">
      <c r="A62" s="414"/>
      <c r="B62" s="415"/>
      <c r="C62" s="209"/>
      <c r="D62" s="209"/>
      <c r="E62" s="209" t="s">
        <v>299</v>
      </c>
      <c r="F62" s="209"/>
      <c r="G62" s="218">
        <v>40</v>
      </c>
      <c r="H62" s="218"/>
      <c r="J62" s="353"/>
      <c r="K62" s="353"/>
      <c r="L62" s="353"/>
      <c r="M62" s="353"/>
      <c r="N62" s="353"/>
      <c r="O62" s="274"/>
      <c r="P62" s="274"/>
      <c r="Q62" s="274"/>
      <c r="R62" s="274"/>
      <c r="S62" s="274"/>
    </row>
    <row r="63" spans="1:22">
      <c r="A63" s="414"/>
      <c r="B63" s="415"/>
      <c r="C63" s="218"/>
      <c r="D63" s="218"/>
      <c r="E63" s="218"/>
      <c r="F63" s="218"/>
      <c r="G63" s="209">
        <v>2460</v>
      </c>
      <c r="H63" s="209"/>
      <c r="J63" s="353"/>
      <c r="K63" s="353"/>
      <c r="L63" s="353"/>
      <c r="M63" s="353"/>
      <c r="N63" s="353"/>
      <c r="O63" s="274"/>
      <c r="P63" s="274"/>
      <c r="Q63" s="274"/>
      <c r="R63" s="274"/>
      <c r="S63" s="274"/>
    </row>
    <row r="64" spans="1:22">
      <c r="A64" s="414"/>
      <c r="B64" s="415"/>
      <c r="C64" s="218"/>
      <c r="D64" s="218"/>
      <c r="E64" s="218"/>
      <c r="F64" s="218"/>
      <c r="G64" s="209"/>
      <c r="H64" s="209"/>
    </row>
    <row r="65" spans="1:22">
      <c r="A65" s="414"/>
      <c r="B65" s="415"/>
      <c r="C65" s="218"/>
      <c r="D65" s="218"/>
      <c r="E65" s="218"/>
      <c r="F65" s="218"/>
      <c r="G65" s="209">
        <f>G63*0.6</f>
        <v>1476</v>
      </c>
      <c r="H65" s="209"/>
      <c r="J65" s="274" t="s">
        <v>308</v>
      </c>
      <c r="K65" s="274"/>
      <c r="L65" s="353"/>
      <c r="M65" s="353"/>
      <c r="N65" s="353"/>
      <c r="O65" s="353"/>
      <c r="P65" s="353"/>
      <c r="Q65" s="353"/>
      <c r="R65" s="353"/>
      <c r="S65" s="353"/>
      <c r="T65" s="353"/>
      <c r="U65" s="353"/>
      <c r="V65" s="353"/>
    </row>
    <row r="66" spans="1:22">
      <c r="A66" s="414"/>
      <c r="B66" s="415"/>
      <c r="C66" s="218"/>
      <c r="D66" s="218"/>
      <c r="E66" s="218"/>
      <c r="F66" s="218"/>
      <c r="G66" s="209"/>
      <c r="H66" s="209"/>
      <c r="J66" s="274"/>
      <c r="K66" s="274"/>
      <c r="L66" s="353"/>
      <c r="M66" s="353"/>
      <c r="N66" s="353"/>
      <c r="O66" s="353"/>
      <c r="P66" s="353"/>
      <c r="Q66" s="353"/>
      <c r="R66" s="353"/>
      <c r="S66" s="353"/>
      <c r="T66" s="353"/>
      <c r="U66" s="353"/>
      <c r="V66" s="353"/>
    </row>
    <row r="67" spans="1:22">
      <c r="A67" s="414"/>
      <c r="B67" s="415"/>
      <c r="C67" s="356"/>
      <c r="D67" s="357"/>
      <c r="E67" s="356" t="s">
        <v>69</v>
      </c>
      <c r="F67" s="357"/>
      <c r="G67" s="218">
        <f>((G60)/2)^2</f>
        <v>26211.61</v>
      </c>
      <c r="H67" s="218"/>
      <c r="J67" s="353"/>
      <c r="K67" s="353"/>
      <c r="L67" s="353"/>
      <c r="M67" s="353"/>
      <c r="N67" s="353"/>
      <c r="O67" s="353"/>
      <c r="P67" s="353"/>
      <c r="Q67" s="353"/>
      <c r="R67" s="353"/>
      <c r="S67" s="353"/>
      <c r="T67" s="353"/>
      <c r="U67" s="353"/>
      <c r="V67" s="353"/>
    </row>
    <row r="68" spans="1:22">
      <c r="A68" s="414"/>
      <c r="B68" s="415"/>
      <c r="C68" s="356"/>
      <c r="D68" s="357"/>
      <c r="E68" s="356" t="s">
        <v>69</v>
      </c>
      <c r="F68" s="357"/>
      <c r="G68" s="218">
        <f>((G60-(G61*2))/2)^2</f>
        <v>22979.5281</v>
      </c>
      <c r="H68" s="218"/>
      <c r="J68" s="353"/>
      <c r="K68" s="353"/>
      <c r="L68" s="353"/>
      <c r="M68" s="353"/>
      <c r="N68" s="353"/>
      <c r="O68" s="353"/>
      <c r="P68" s="353"/>
      <c r="Q68" s="353"/>
      <c r="R68" s="353"/>
      <c r="S68" s="353"/>
      <c r="T68" s="353"/>
      <c r="U68" s="353"/>
      <c r="V68" s="353"/>
    </row>
    <row r="69" spans="1:22">
      <c r="A69" s="414"/>
      <c r="B69" s="415"/>
      <c r="C69" s="356" t="s">
        <v>300</v>
      </c>
      <c r="D69" s="357"/>
      <c r="E69" s="356" t="s">
        <v>69</v>
      </c>
      <c r="F69" s="357"/>
      <c r="G69" s="218">
        <f>((G67+G68)/4)^0.5</f>
        <v>110.89537648161892</v>
      </c>
      <c r="H69" s="218"/>
    </row>
    <row r="70" spans="1:22">
      <c r="A70" s="414"/>
      <c r="B70" s="415"/>
      <c r="C70" s="356" t="s">
        <v>301</v>
      </c>
      <c r="D70" s="357"/>
      <c r="E70" s="356" t="s">
        <v>302</v>
      </c>
      <c r="F70" s="357"/>
      <c r="G70" s="218">
        <f>PI()*(G67-G68)</f>
        <v>10153.884752840544</v>
      </c>
      <c r="H70" s="218"/>
      <c r="J70" s="353"/>
      <c r="K70" s="353"/>
      <c r="L70" s="274">
        <f>0.877*O57</f>
        <v>549.76454175903768</v>
      </c>
      <c r="M70" s="274"/>
      <c r="N70" s="274"/>
      <c r="O70" s="274"/>
      <c r="P70" s="274"/>
      <c r="Q70" s="274"/>
      <c r="R70" s="274"/>
      <c r="S70" s="274"/>
      <c r="T70" s="274"/>
      <c r="U70" s="274"/>
    </row>
    <row r="71" spans="1:22">
      <c r="A71" s="414"/>
      <c r="B71" s="415"/>
      <c r="C71" s="209" t="s">
        <v>303</v>
      </c>
      <c r="D71" s="209"/>
      <c r="E71" s="209"/>
      <c r="F71" s="209"/>
      <c r="G71" s="209">
        <v>1</v>
      </c>
      <c r="H71" s="209"/>
      <c r="J71" s="353"/>
      <c r="K71" s="353"/>
      <c r="L71" s="274"/>
      <c r="M71" s="274"/>
      <c r="N71" s="274"/>
      <c r="O71" s="274"/>
      <c r="P71" s="274"/>
      <c r="Q71" s="274"/>
      <c r="R71" s="274"/>
      <c r="S71" s="274"/>
      <c r="T71" s="274"/>
      <c r="U71" s="274"/>
    </row>
    <row r="72" spans="1:22">
      <c r="A72" s="414"/>
      <c r="B72" s="415"/>
      <c r="C72" s="209"/>
      <c r="D72" s="209"/>
      <c r="E72" s="209"/>
      <c r="F72" s="209"/>
      <c r="G72" s="209"/>
      <c r="H72" s="209"/>
      <c r="J72" s="353"/>
      <c r="K72" s="353"/>
      <c r="L72" s="353"/>
      <c r="M72" s="353"/>
      <c r="N72" s="274">
        <f>0.6*L70*(G70/100)</f>
        <v>33493.474789316766</v>
      </c>
      <c r="O72" s="274"/>
      <c r="P72" s="274"/>
      <c r="Q72" s="274"/>
      <c r="R72" s="274"/>
      <c r="S72" s="274"/>
      <c r="T72" s="274"/>
      <c r="U72" s="274"/>
    </row>
    <row r="73" spans="1:22">
      <c r="A73" s="414"/>
      <c r="B73" s="415"/>
      <c r="C73" s="218"/>
      <c r="D73" s="218"/>
      <c r="E73" s="218"/>
      <c r="F73" s="218"/>
      <c r="G73" s="209">
        <v>2024794.2</v>
      </c>
      <c r="H73" s="209"/>
      <c r="J73" s="353"/>
      <c r="K73" s="353"/>
      <c r="L73" s="353"/>
      <c r="M73" s="353"/>
      <c r="N73" s="274"/>
      <c r="O73" s="274"/>
      <c r="P73" s="274"/>
      <c r="Q73" s="274"/>
      <c r="R73" s="274"/>
      <c r="S73" s="274"/>
      <c r="T73" s="274"/>
      <c r="U73" s="274"/>
    </row>
    <row r="74" spans="1:22">
      <c r="A74" s="414"/>
      <c r="B74" s="415"/>
      <c r="C74" s="218"/>
      <c r="D74" s="218"/>
      <c r="E74" s="218"/>
      <c r="F74" s="218"/>
      <c r="G74" s="209"/>
      <c r="H74" s="209"/>
      <c r="J74" s="274" t="str">
        <f>IF(G79&lt;N72,"OK.","NOT OK.")</f>
        <v>OK.</v>
      </c>
      <c r="K74" s="274"/>
      <c r="L74" s="274"/>
      <c r="M74" s="274"/>
      <c r="N74" s="274"/>
      <c r="O74" s="274"/>
      <c r="P74" s="274"/>
      <c r="Q74" s="274"/>
      <c r="R74" s="274"/>
      <c r="S74" s="274"/>
      <c r="T74" s="274"/>
      <c r="U74" s="274"/>
    </row>
    <row r="75" spans="1:22">
      <c r="A75" s="414"/>
      <c r="B75" s="415"/>
      <c r="C75" s="209" t="s">
        <v>305</v>
      </c>
      <c r="D75" s="209"/>
      <c r="E75" s="209"/>
      <c r="F75" s="209"/>
      <c r="G75" s="209">
        <v>990</v>
      </c>
      <c r="H75" s="209"/>
      <c r="J75" s="274"/>
      <c r="K75" s="274"/>
      <c r="L75" s="274"/>
      <c r="M75" s="274"/>
      <c r="N75" s="274"/>
      <c r="O75" s="274"/>
      <c r="P75" s="274"/>
      <c r="Q75" s="274"/>
      <c r="R75" s="274"/>
      <c r="S75" s="274"/>
      <c r="T75" s="274"/>
      <c r="U75" s="274"/>
    </row>
    <row r="76" spans="1:22">
      <c r="A76" s="416"/>
      <c r="B76" s="417"/>
      <c r="C76" s="209"/>
      <c r="D76" s="209"/>
      <c r="E76" s="209"/>
      <c r="F76" s="209"/>
      <c r="G76" s="209"/>
      <c r="H76" s="209"/>
      <c r="J76" s="274" t="s">
        <v>311</v>
      </c>
      <c r="K76" s="274"/>
      <c r="L76" s="274"/>
      <c r="M76" s="274"/>
      <c r="N76" s="274"/>
      <c r="O76" s="274"/>
      <c r="P76" s="274"/>
      <c r="Q76" s="274"/>
      <c r="R76" s="274"/>
      <c r="S76" s="274"/>
      <c r="T76" s="274"/>
      <c r="U76" s="274"/>
    </row>
    <row r="77" spans="1:22">
      <c r="A77" s="418" t="s">
        <v>309</v>
      </c>
      <c r="B77" s="418"/>
      <c r="C77" s="209" t="s">
        <v>306</v>
      </c>
      <c r="D77" s="209"/>
      <c r="E77" s="209"/>
      <c r="F77" s="209"/>
      <c r="G77" s="209">
        <v>2</v>
      </c>
      <c r="H77" s="209"/>
      <c r="J77" s="274"/>
      <c r="K77" s="274"/>
      <c r="L77" s="274"/>
      <c r="M77" s="274"/>
      <c r="N77" s="274"/>
      <c r="O77" s="274"/>
      <c r="P77" s="274"/>
      <c r="Q77" s="274"/>
      <c r="R77" s="274"/>
      <c r="S77" s="274"/>
      <c r="T77" s="274"/>
      <c r="U77" s="274"/>
    </row>
    <row r="78" spans="1:22">
      <c r="A78" s="418"/>
      <c r="B78" s="418"/>
      <c r="C78" s="209"/>
      <c r="D78" s="209"/>
      <c r="E78" s="209"/>
      <c r="F78" s="209"/>
      <c r="G78" s="209"/>
      <c r="H78" s="209"/>
      <c r="J78" s="274">
        <f>G79/N72</f>
        <v>0.43062538562871344</v>
      </c>
      <c r="K78" s="274"/>
      <c r="L78" s="274"/>
      <c r="M78" s="274"/>
      <c r="N78" s="274"/>
      <c r="O78" s="274"/>
      <c r="P78" s="274"/>
      <c r="Q78" s="274"/>
      <c r="R78" s="274"/>
      <c r="S78" s="274"/>
      <c r="T78" s="274"/>
      <c r="U78" s="274"/>
    </row>
    <row r="79" spans="1:22">
      <c r="A79" s="418"/>
      <c r="B79" s="418"/>
      <c r="C79" s="419" t="s">
        <v>245</v>
      </c>
      <c r="D79" s="419"/>
      <c r="E79" s="419"/>
      <c r="F79" s="419"/>
      <c r="G79" s="209">
        <f>J42/G71</f>
        <v>14423.140497195123</v>
      </c>
      <c r="H79" s="209"/>
      <c r="J79" s="274"/>
      <c r="K79" s="274"/>
      <c r="L79" s="274"/>
      <c r="M79" s="274"/>
      <c r="N79" s="274"/>
      <c r="O79" s="274"/>
      <c r="P79" s="274"/>
      <c r="Q79" s="274"/>
      <c r="R79" s="274"/>
      <c r="S79" s="274"/>
      <c r="T79" s="274"/>
      <c r="U79" s="274"/>
    </row>
    <row r="80" spans="1:22">
      <c r="A80" s="418"/>
      <c r="B80" s="418"/>
      <c r="C80" s="419"/>
      <c r="D80" s="419"/>
      <c r="E80" s="419"/>
      <c r="F80" s="419"/>
      <c r="G80" s="209"/>
      <c r="H80" s="209"/>
    </row>
  </sheetData>
  <mergeCells count="113">
    <mergeCell ref="G79:H80"/>
    <mergeCell ref="E70:F70"/>
    <mergeCell ref="C61:D62"/>
    <mergeCell ref="E61:F61"/>
    <mergeCell ref="E62:F62"/>
    <mergeCell ref="C63:F64"/>
    <mergeCell ref="J78:U79"/>
    <mergeCell ref="J72:M73"/>
    <mergeCell ref="N72:U73"/>
    <mergeCell ref="J74:U75"/>
    <mergeCell ref="J76:U77"/>
    <mergeCell ref="J67:N68"/>
    <mergeCell ref="O67:P68"/>
    <mergeCell ref="Q65:V66"/>
    <mergeCell ref="Q67:V68"/>
    <mergeCell ref="J70:K71"/>
    <mergeCell ref="L70:U71"/>
    <mergeCell ref="E68:F68"/>
    <mergeCell ref="E69:F69"/>
    <mergeCell ref="J61:N63"/>
    <mergeCell ref="O61:S63"/>
    <mergeCell ref="J65:K66"/>
    <mergeCell ref="L65:N66"/>
    <mergeCell ref="C77:F78"/>
    <mergeCell ref="G77:H78"/>
    <mergeCell ref="D57:H58"/>
    <mergeCell ref="J57:N59"/>
    <mergeCell ref="A59:B76"/>
    <mergeCell ref="A77:B80"/>
    <mergeCell ref="G71:H72"/>
    <mergeCell ref="C73:F74"/>
    <mergeCell ref="G73:H74"/>
    <mergeCell ref="C75:F76"/>
    <mergeCell ref="G75:H76"/>
    <mergeCell ref="G68:H68"/>
    <mergeCell ref="G69:H69"/>
    <mergeCell ref="G70:H70"/>
    <mergeCell ref="C67:D67"/>
    <mergeCell ref="C68:D68"/>
    <mergeCell ref="C69:D69"/>
    <mergeCell ref="C70:D70"/>
    <mergeCell ref="G61:H61"/>
    <mergeCell ref="G62:H62"/>
    <mergeCell ref="G63:H64"/>
    <mergeCell ref="G65:H66"/>
    <mergeCell ref="G67:H67"/>
    <mergeCell ref="C79:F80"/>
    <mergeCell ref="C71:F72"/>
    <mergeCell ref="C65:F66"/>
    <mergeCell ref="E67:F67"/>
    <mergeCell ref="O57:S59"/>
    <mergeCell ref="A48:E52"/>
    <mergeCell ref="F48:Q51"/>
    <mergeCell ref="R48:V52"/>
    <mergeCell ref="F52:Q52"/>
    <mergeCell ref="A53:E54"/>
    <mergeCell ref="F53:Q54"/>
    <mergeCell ref="R53:V54"/>
    <mergeCell ref="A55:E56"/>
    <mergeCell ref="A57:C58"/>
    <mergeCell ref="C59:D60"/>
    <mergeCell ref="E59:F59"/>
    <mergeCell ref="E60:F60"/>
    <mergeCell ref="G59:H59"/>
    <mergeCell ref="G60:H60"/>
    <mergeCell ref="O65:P66"/>
    <mergeCell ref="B42:I43"/>
    <mergeCell ref="J42:L43"/>
    <mergeCell ref="M42:N43"/>
    <mergeCell ref="C44:G45"/>
    <mergeCell ref="J44:L45"/>
    <mergeCell ref="M44:N45"/>
    <mergeCell ref="C46:G47"/>
    <mergeCell ref="J46:L47"/>
    <mergeCell ref="M46:N47"/>
    <mergeCell ref="F5:Q5"/>
    <mergeCell ref="F6:Q7"/>
    <mergeCell ref="B34:I35"/>
    <mergeCell ref="B36:R37"/>
    <mergeCell ref="B38:I39"/>
    <mergeCell ref="J38:L39"/>
    <mergeCell ref="M38:N39"/>
    <mergeCell ref="B30:I31"/>
    <mergeCell ref="J30:K31"/>
    <mergeCell ref="L30:M31"/>
    <mergeCell ref="N28:O29"/>
    <mergeCell ref="B32:I33"/>
    <mergeCell ref="J32:K33"/>
    <mergeCell ref="L32:M33"/>
    <mergeCell ref="F1:Q4"/>
    <mergeCell ref="B19:O20"/>
    <mergeCell ref="B40:I41"/>
    <mergeCell ref="J40:L41"/>
    <mergeCell ref="M40:N41"/>
    <mergeCell ref="A1:E5"/>
    <mergeCell ref="A8:F9"/>
    <mergeCell ref="A10:V15"/>
    <mergeCell ref="B17:J18"/>
    <mergeCell ref="K17:T18"/>
    <mergeCell ref="B21:E22"/>
    <mergeCell ref="B24:I25"/>
    <mergeCell ref="J24:K25"/>
    <mergeCell ref="L24:M25"/>
    <mergeCell ref="N24:O25"/>
    <mergeCell ref="B26:I27"/>
    <mergeCell ref="R1:V5"/>
    <mergeCell ref="J26:K27"/>
    <mergeCell ref="L26:M27"/>
    <mergeCell ref="N26:O27"/>
    <mergeCell ref="B28:I29"/>
    <mergeCell ref="J28:M29"/>
    <mergeCell ref="A6:E7"/>
    <mergeCell ref="R6:V7"/>
  </mergeCells>
  <conditionalFormatting sqref="J74:U75">
    <cfRule type="containsText" dxfId="70" priority="0" operator="containsText" text="NOT OK">
      <formula>NOT(ISERROR(SEARCH("NOT OK",J74)))</formula>
    </cfRule>
    <cfRule type="containsText" dxfId="69" priority="1" operator="containsText" text="NOK">
      <formula>NOT(ISERROR(SEARCH("NOK",J74)))</formula>
    </cfRule>
    <cfRule type="containsText" dxfId="68" priority="2" operator="containsText" text="OK">
      <formula>NOT(ISERROR(SEARCH("OK",J74)))</formula>
    </cfRule>
  </conditionalFormatting>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X120"/>
  <sheetViews>
    <sheetView topLeftCell="A55" zoomScaleNormal="100" workbookViewId="0">
      <selection activeCell="Q72" sqref="Q72"/>
    </sheetView>
  </sheetViews>
  <sheetFormatPr defaultRowHeight="14.25"/>
  <cols>
    <col min="1" max="22" width="4.375" customWidth="1"/>
  </cols>
  <sheetData>
    <row r="1" spans="1:22">
      <c r="A1" s="441"/>
      <c r="B1" s="442"/>
      <c r="C1" s="442"/>
      <c r="D1" s="442"/>
      <c r="E1" s="442"/>
      <c r="F1" s="438" t="s">
        <v>431</v>
      </c>
      <c r="G1" s="439"/>
      <c r="H1" s="439"/>
      <c r="I1" s="439"/>
      <c r="J1" s="439"/>
      <c r="K1" s="439"/>
      <c r="L1" s="439"/>
      <c r="M1" s="439"/>
      <c r="N1" s="439"/>
      <c r="O1" s="439"/>
      <c r="P1" s="439"/>
      <c r="Q1" s="439"/>
      <c r="R1" s="442"/>
      <c r="S1" s="442"/>
      <c r="T1" s="442"/>
      <c r="U1" s="442"/>
      <c r="V1" s="443"/>
    </row>
    <row r="2" spans="1:22">
      <c r="A2" s="217"/>
      <c r="B2" s="218"/>
      <c r="C2" s="218"/>
      <c r="D2" s="218"/>
      <c r="E2" s="218"/>
      <c r="F2" s="440"/>
      <c r="G2" s="440"/>
      <c r="H2" s="440"/>
      <c r="I2" s="440"/>
      <c r="J2" s="440"/>
      <c r="K2" s="440"/>
      <c r="L2" s="440"/>
      <c r="M2" s="440"/>
      <c r="N2" s="440"/>
      <c r="O2" s="440"/>
      <c r="P2" s="440"/>
      <c r="Q2" s="440"/>
      <c r="R2" s="218"/>
      <c r="S2" s="218"/>
      <c r="T2" s="218"/>
      <c r="U2" s="218"/>
      <c r="V2" s="444"/>
    </row>
    <row r="3" spans="1:22">
      <c r="A3" s="217"/>
      <c r="B3" s="218"/>
      <c r="C3" s="218"/>
      <c r="D3" s="218"/>
      <c r="E3" s="218"/>
      <c r="F3" s="440"/>
      <c r="G3" s="440"/>
      <c r="H3" s="440"/>
      <c r="I3" s="440"/>
      <c r="J3" s="440"/>
      <c r="K3" s="440"/>
      <c r="L3" s="440"/>
      <c r="M3" s="440"/>
      <c r="N3" s="440"/>
      <c r="O3" s="440"/>
      <c r="P3" s="440"/>
      <c r="Q3" s="440"/>
      <c r="R3" s="218"/>
      <c r="S3" s="218"/>
      <c r="T3" s="218"/>
      <c r="U3" s="218"/>
      <c r="V3" s="444"/>
    </row>
    <row r="4" spans="1:22">
      <c r="A4" s="217"/>
      <c r="B4" s="218"/>
      <c r="C4" s="218"/>
      <c r="D4" s="218"/>
      <c r="E4" s="218"/>
      <c r="F4" s="440"/>
      <c r="G4" s="440"/>
      <c r="H4" s="440"/>
      <c r="I4" s="440"/>
      <c r="J4" s="440"/>
      <c r="K4" s="440"/>
      <c r="L4" s="440"/>
      <c r="M4" s="440"/>
      <c r="N4" s="440"/>
      <c r="O4" s="440"/>
      <c r="P4" s="440"/>
      <c r="Q4" s="440"/>
      <c r="R4" s="218"/>
      <c r="S4" s="218"/>
      <c r="T4" s="218"/>
      <c r="U4" s="218"/>
      <c r="V4" s="444"/>
    </row>
    <row r="5" spans="1:22">
      <c r="A5" s="217"/>
      <c r="B5" s="218"/>
      <c r="C5" s="218"/>
      <c r="D5" s="218"/>
      <c r="E5" s="218"/>
      <c r="F5" s="440"/>
      <c r="G5" s="440"/>
      <c r="H5" s="440"/>
      <c r="I5" s="440"/>
      <c r="J5" s="440"/>
      <c r="K5" s="440"/>
      <c r="L5" s="440"/>
      <c r="M5" s="440"/>
      <c r="N5" s="440"/>
      <c r="O5" s="440"/>
      <c r="P5" s="440"/>
      <c r="Q5" s="440"/>
      <c r="R5" s="218"/>
      <c r="S5" s="218"/>
      <c r="T5" s="218"/>
      <c r="U5" s="218"/>
      <c r="V5" s="444"/>
    </row>
    <row r="6" spans="1:22" ht="15">
      <c r="A6" s="217"/>
      <c r="B6" s="218"/>
      <c r="C6" s="218"/>
      <c r="D6" s="218"/>
      <c r="E6" s="218"/>
      <c r="F6" s="396" t="s">
        <v>432</v>
      </c>
      <c r="G6" s="396"/>
      <c r="H6" s="396"/>
      <c r="I6" s="396"/>
      <c r="J6" s="396"/>
      <c r="K6" s="396"/>
      <c r="L6" s="396"/>
      <c r="M6" s="396"/>
      <c r="N6" s="396"/>
      <c r="O6" s="396"/>
      <c r="P6" s="396"/>
      <c r="Q6" s="396"/>
      <c r="R6" s="218"/>
      <c r="S6" s="218"/>
      <c r="T6" s="218"/>
      <c r="U6" s="218"/>
      <c r="V6" s="444"/>
    </row>
    <row r="7" spans="1:22">
      <c r="A7" s="429" t="s">
        <v>429</v>
      </c>
      <c r="B7" s="430"/>
      <c r="C7" s="430"/>
      <c r="D7" s="430"/>
      <c r="E7" s="430"/>
      <c r="F7" s="431" t="s">
        <v>434</v>
      </c>
      <c r="G7" s="431"/>
      <c r="H7" s="431"/>
      <c r="I7" s="431"/>
      <c r="J7" s="431"/>
      <c r="K7" s="431"/>
      <c r="L7" s="431"/>
      <c r="M7" s="431"/>
      <c r="N7" s="431"/>
      <c r="O7" s="431" t="s">
        <v>433</v>
      </c>
      <c r="P7" s="431"/>
      <c r="Q7" s="2"/>
      <c r="R7" s="431" t="s">
        <v>436</v>
      </c>
      <c r="S7" s="431"/>
      <c r="T7" s="431"/>
      <c r="U7" s="431"/>
      <c r="V7" s="432"/>
    </row>
    <row r="8" spans="1:22" ht="15" thickBot="1">
      <c r="A8" s="434" t="s">
        <v>430</v>
      </c>
      <c r="B8" s="435"/>
      <c r="C8" s="435"/>
      <c r="D8" s="435"/>
      <c r="E8" s="435"/>
      <c r="F8" s="436" t="s">
        <v>435</v>
      </c>
      <c r="G8" s="436"/>
      <c r="H8" s="436"/>
      <c r="I8" s="436"/>
      <c r="J8" s="436"/>
      <c r="K8" s="436"/>
      <c r="L8" s="436"/>
      <c r="M8" s="436"/>
      <c r="N8" s="436"/>
      <c r="O8" s="436"/>
      <c r="P8" s="436"/>
      <c r="Q8" s="436"/>
      <c r="R8" s="436" t="s">
        <v>437</v>
      </c>
      <c r="S8" s="436"/>
      <c r="T8" s="436"/>
      <c r="U8" s="436"/>
      <c r="V8" s="437"/>
    </row>
    <row r="10" spans="1:22">
      <c r="B10" s="433" t="s">
        <v>74</v>
      </c>
      <c r="C10" s="433"/>
      <c r="D10" s="433"/>
      <c r="E10" s="433"/>
      <c r="F10" s="433"/>
      <c r="G10" s="433"/>
    </row>
    <row r="11" spans="1:22">
      <c r="B11" s="433"/>
      <c r="C11" s="433"/>
      <c r="D11" s="433"/>
      <c r="E11" s="433"/>
      <c r="F11" s="433"/>
      <c r="G11" s="433"/>
    </row>
    <row r="12" spans="1:22">
      <c r="B12" s="400" t="s">
        <v>75</v>
      </c>
      <c r="C12" s="400"/>
      <c r="D12" s="400"/>
      <c r="E12" s="400"/>
      <c r="F12" s="400"/>
      <c r="G12" s="400"/>
      <c r="H12" s="400"/>
      <c r="I12" s="400"/>
      <c r="J12" s="400"/>
      <c r="K12" s="400"/>
      <c r="L12" s="400"/>
      <c r="M12" s="400"/>
      <c r="N12" s="400"/>
      <c r="O12" s="400"/>
      <c r="P12" s="400"/>
      <c r="Q12" s="400"/>
      <c r="R12" s="400"/>
      <c r="S12" s="400"/>
      <c r="T12" s="400"/>
    </row>
    <row r="13" spans="1:22">
      <c r="B13" s="400"/>
      <c r="C13" s="400"/>
      <c r="D13" s="400"/>
      <c r="E13" s="400"/>
      <c r="F13" s="400"/>
      <c r="G13" s="400"/>
      <c r="H13" s="400"/>
      <c r="I13" s="400"/>
      <c r="J13" s="400"/>
      <c r="K13" s="400"/>
      <c r="L13" s="400"/>
      <c r="M13" s="400"/>
      <c r="N13" s="400"/>
      <c r="O13" s="400"/>
      <c r="P13" s="400"/>
      <c r="Q13" s="400"/>
      <c r="R13" s="400"/>
      <c r="S13" s="400"/>
      <c r="T13" s="400"/>
    </row>
    <row r="14" spans="1:22">
      <c r="B14" s="353"/>
      <c r="C14" s="353"/>
      <c r="D14" s="353"/>
      <c r="E14" s="353"/>
      <c r="F14" s="353"/>
      <c r="G14" s="353"/>
      <c r="H14" s="353"/>
      <c r="I14" s="353"/>
      <c r="J14" s="353"/>
      <c r="K14" s="353"/>
      <c r="L14" s="353"/>
      <c r="M14" s="353"/>
      <c r="N14" s="353"/>
      <c r="O14" s="353"/>
      <c r="P14" s="353"/>
      <c r="Q14" s="353"/>
      <c r="R14" s="353"/>
      <c r="S14" s="353"/>
      <c r="T14" s="353"/>
      <c r="U14" s="353"/>
    </row>
    <row r="15" spans="1:22">
      <c r="B15" s="353"/>
      <c r="C15" s="353"/>
      <c r="D15" s="353"/>
      <c r="E15" s="353"/>
      <c r="F15" s="353"/>
      <c r="G15" s="353"/>
      <c r="H15" s="353"/>
      <c r="I15" s="353"/>
      <c r="J15" s="353"/>
      <c r="K15" s="353"/>
      <c r="L15" s="353"/>
      <c r="M15" s="353"/>
      <c r="N15" s="353"/>
      <c r="O15" s="353"/>
      <c r="P15" s="353"/>
      <c r="Q15" s="353"/>
      <c r="R15" s="353"/>
      <c r="S15" s="353"/>
      <c r="T15" s="353"/>
      <c r="U15" s="353"/>
    </row>
    <row r="16" spans="1:22">
      <c r="B16" s="353"/>
      <c r="C16" s="353"/>
      <c r="D16" s="353"/>
      <c r="E16" s="353"/>
      <c r="F16" s="353"/>
      <c r="G16" s="353"/>
      <c r="H16" s="353"/>
      <c r="I16" s="353"/>
      <c r="J16" s="353"/>
      <c r="K16" s="353"/>
      <c r="L16" s="353"/>
      <c r="M16" s="353"/>
      <c r="N16" s="353"/>
      <c r="O16" s="353"/>
      <c r="P16" s="353"/>
      <c r="Q16" s="353"/>
      <c r="R16" s="353"/>
      <c r="S16" s="353"/>
      <c r="T16" s="353"/>
      <c r="U16" s="353"/>
    </row>
    <row r="17" spans="2:21">
      <c r="B17" s="353"/>
      <c r="C17" s="353"/>
      <c r="D17" s="353"/>
      <c r="E17" s="353"/>
      <c r="F17" s="353"/>
      <c r="G17" s="353"/>
      <c r="H17" s="353"/>
      <c r="I17" s="353"/>
      <c r="J17" s="353"/>
      <c r="K17" s="353"/>
      <c r="L17" s="353"/>
      <c r="M17" s="353"/>
      <c r="N17" s="353"/>
      <c r="O17" s="353"/>
      <c r="P17" s="353"/>
      <c r="Q17" s="353"/>
      <c r="R17" s="353"/>
      <c r="S17" s="353"/>
      <c r="T17" s="353"/>
      <c r="U17" s="353"/>
    </row>
    <row r="18" spans="2:21">
      <c r="B18" s="353"/>
      <c r="C18" s="353"/>
      <c r="D18" s="353"/>
      <c r="E18" s="353"/>
      <c r="F18" s="353"/>
      <c r="G18" s="353"/>
      <c r="H18" s="353"/>
      <c r="I18" s="353"/>
      <c r="J18" s="353"/>
      <c r="K18" s="353"/>
      <c r="L18" s="353"/>
      <c r="M18" s="353"/>
      <c r="N18" s="353"/>
      <c r="O18" s="353"/>
      <c r="P18" s="353"/>
      <c r="Q18" s="353"/>
      <c r="R18" s="353"/>
      <c r="S18" s="353"/>
      <c r="T18" s="353"/>
      <c r="U18" s="353"/>
    </row>
    <row r="19" spans="2:21">
      <c r="B19" s="353"/>
      <c r="C19" s="353"/>
      <c r="D19" s="353"/>
      <c r="E19" s="353"/>
      <c r="F19" s="353"/>
      <c r="G19" s="353"/>
      <c r="H19" s="353"/>
      <c r="I19" s="353"/>
      <c r="J19" s="353"/>
      <c r="K19" s="353"/>
      <c r="L19" s="353"/>
      <c r="M19" s="353"/>
      <c r="N19" s="353"/>
      <c r="O19" s="353"/>
      <c r="P19" s="353"/>
      <c r="Q19" s="353"/>
      <c r="R19" s="353"/>
      <c r="S19" s="353"/>
      <c r="T19" s="353"/>
      <c r="U19" s="353"/>
    </row>
    <row r="20" spans="2:21">
      <c r="B20" s="353"/>
      <c r="C20" s="353"/>
      <c r="D20" s="353"/>
      <c r="E20" s="353"/>
      <c r="F20" s="353"/>
      <c r="G20" s="353"/>
      <c r="H20" s="353"/>
      <c r="I20" s="353"/>
      <c r="J20" s="353"/>
      <c r="K20" s="353"/>
      <c r="L20" s="353"/>
      <c r="M20" s="353"/>
      <c r="N20" s="353"/>
      <c r="O20" s="353"/>
      <c r="P20" s="353"/>
      <c r="Q20" s="353"/>
      <c r="R20" s="353"/>
      <c r="S20" s="353"/>
      <c r="T20" s="353"/>
      <c r="U20" s="353"/>
    </row>
    <row r="21" spans="2:21">
      <c r="B21" s="353"/>
      <c r="C21" s="353"/>
      <c r="D21" s="353"/>
      <c r="E21" s="353"/>
      <c r="F21" s="353"/>
      <c r="G21" s="353"/>
      <c r="H21" s="353"/>
      <c r="I21" s="353"/>
      <c r="J21" s="353"/>
      <c r="K21" s="353"/>
      <c r="L21" s="353"/>
      <c r="M21" s="353"/>
      <c r="N21" s="353"/>
      <c r="O21" s="353"/>
      <c r="P21" s="353"/>
      <c r="Q21" s="353"/>
      <c r="R21" s="353"/>
      <c r="S21" s="353"/>
      <c r="T21" s="353"/>
      <c r="U21" s="353"/>
    </row>
    <row r="22" spans="2:21">
      <c r="B22" s="399" t="s">
        <v>439</v>
      </c>
      <c r="C22" s="400"/>
      <c r="D22" s="400"/>
      <c r="E22" s="400"/>
      <c r="F22" s="400"/>
      <c r="G22" s="400"/>
      <c r="H22" s="400"/>
      <c r="I22" s="400"/>
      <c r="J22" s="400"/>
      <c r="K22" s="400"/>
      <c r="L22" s="400"/>
      <c r="M22" s="400"/>
      <c r="N22" s="400"/>
      <c r="O22" s="400"/>
      <c r="P22" s="400"/>
      <c r="Q22" s="400"/>
      <c r="R22" s="400"/>
      <c r="S22" s="400"/>
      <c r="T22" s="400"/>
      <c r="U22" s="400"/>
    </row>
    <row r="23" spans="2:21">
      <c r="B23" s="400"/>
      <c r="C23" s="400"/>
      <c r="D23" s="400"/>
      <c r="E23" s="400"/>
      <c r="F23" s="400"/>
      <c r="G23" s="400"/>
      <c r="H23" s="400"/>
      <c r="I23" s="400"/>
      <c r="J23" s="400"/>
      <c r="K23" s="400"/>
      <c r="L23" s="400"/>
      <c r="M23" s="400"/>
      <c r="N23" s="400"/>
      <c r="O23" s="400"/>
      <c r="P23" s="400"/>
      <c r="Q23" s="400"/>
      <c r="R23" s="400"/>
      <c r="S23" s="400"/>
      <c r="T23" s="400"/>
      <c r="U23" s="400"/>
    </row>
    <row r="24" spans="2:21">
      <c r="B24" s="400"/>
      <c r="C24" s="400"/>
      <c r="D24" s="400"/>
      <c r="E24" s="400"/>
      <c r="F24" s="400"/>
      <c r="G24" s="400"/>
      <c r="H24" s="400"/>
      <c r="I24" s="400"/>
      <c r="J24" s="400"/>
      <c r="K24" s="400"/>
      <c r="L24" s="400"/>
      <c r="M24" s="400"/>
      <c r="N24" s="400"/>
      <c r="O24" s="400"/>
      <c r="P24" s="400"/>
      <c r="Q24" s="400"/>
      <c r="R24" s="400"/>
      <c r="S24" s="400"/>
      <c r="T24" s="400"/>
      <c r="U24" s="400"/>
    </row>
    <row r="25" spans="2:21">
      <c r="B25" s="400"/>
      <c r="C25" s="400"/>
      <c r="D25" s="400"/>
      <c r="E25" s="400"/>
      <c r="F25" s="400"/>
      <c r="G25" s="400"/>
      <c r="H25" s="400"/>
      <c r="I25" s="400"/>
      <c r="J25" s="400"/>
      <c r="K25" s="400"/>
      <c r="L25" s="400"/>
      <c r="M25" s="400"/>
      <c r="N25" s="400"/>
      <c r="O25" s="400"/>
      <c r="P25" s="400"/>
      <c r="Q25" s="400"/>
      <c r="R25" s="400"/>
      <c r="S25" s="400"/>
      <c r="T25" s="400"/>
      <c r="U25" s="400"/>
    </row>
    <row r="26" spans="2:21">
      <c r="B26" s="400"/>
      <c r="C26" s="400"/>
      <c r="D26" s="400"/>
      <c r="E26" s="400"/>
      <c r="F26" s="400"/>
      <c r="G26" s="400"/>
      <c r="H26" s="400"/>
      <c r="I26" s="400"/>
      <c r="J26" s="400"/>
      <c r="K26" s="400"/>
      <c r="L26" s="400"/>
      <c r="M26" s="400"/>
      <c r="N26" s="400"/>
      <c r="O26" s="400"/>
      <c r="P26" s="400"/>
      <c r="Q26" s="400"/>
      <c r="R26" s="400"/>
      <c r="S26" s="400"/>
      <c r="T26" s="400"/>
      <c r="U26" s="400"/>
    </row>
    <row r="27" spans="2:21">
      <c r="B27" s="400"/>
      <c r="C27" s="400"/>
      <c r="D27" s="400"/>
      <c r="E27" s="400"/>
      <c r="F27" s="400"/>
      <c r="G27" s="400"/>
      <c r="H27" s="400"/>
      <c r="I27" s="400"/>
      <c r="J27" s="400"/>
      <c r="K27" s="400"/>
      <c r="L27" s="400"/>
      <c r="M27" s="400"/>
      <c r="N27" s="400"/>
      <c r="O27" s="400"/>
      <c r="P27" s="400"/>
      <c r="Q27" s="400"/>
      <c r="R27" s="400"/>
      <c r="S27" s="400"/>
      <c r="T27" s="400"/>
      <c r="U27" s="400"/>
    </row>
    <row r="28" spans="2:21">
      <c r="B28" s="400"/>
      <c r="C28" s="400"/>
      <c r="D28" s="400"/>
      <c r="E28" s="400"/>
      <c r="F28" s="400"/>
      <c r="G28" s="400"/>
      <c r="H28" s="400"/>
      <c r="I28" s="400"/>
      <c r="J28" s="400"/>
      <c r="K28" s="400"/>
      <c r="L28" s="400"/>
      <c r="M28" s="400"/>
      <c r="N28" s="400"/>
      <c r="O28" s="400"/>
      <c r="P28" s="400"/>
      <c r="Q28" s="400"/>
      <c r="R28" s="400"/>
      <c r="S28" s="400"/>
      <c r="T28" s="400"/>
      <c r="U28" s="400"/>
    </row>
    <row r="29" spans="2:21">
      <c r="B29" s="353"/>
      <c r="C29" s="353"/>
      <c r="D29" s="353"/>
      <c r="E29" s="353"/>
      <c r="F29" s="353"/>
      <c r="G29" s="353"/>
      <c r="H29" s="353"/>
      <c r="I29" s="353"/>
      <c r="J29" s="353"/>
      <c r="K29" s="353"/>
      <c r="L29" s="353"/>
      <c r="M29" s="353"/>
      <c r="N29" s="353"/>
      <c r="O29" s="353"/>
      <c r="P29" s="353"/>
      <c r="Q29" s="353"/>
      <c r="R29" s="353"/>
      <c r="S29" s="353"/>
      <c r="T29" s="353"/>
      <c r="U29" s="353"/>
    </row>
    <row r="30" spans="2:21">
      <c r="B30" s="353"/>
      <c r="C30" s="353"/>
      <c r="D30" s="353"/>
      <c r="E30" s="353"/>
      <c r="F30" s="353"/>
      <c r="G30" s="353"/>
      <c r="H30" s="353"/>
      <c r="I30" s="353"/>
      <c r="J30" s="353"/>
      <c r="K30" s="353"/>
      <c r="L30" s="353"/>
      <c r="M30" s="353"/>
      <c r="N30" s="353"/>
      <c r="O30" s="353"/>
      <c r="P30" s="353"/>
      <c r="Q30" s="353"/>
      <c r="R30" s="353"/>
      <c r="S30" s="353"/>
      <c r="T30" s="353"/>
      <c r="U30" s="353"/>
    </row>
    <row r="31" spans="2:21">
      <c r="B31" s="353"/>
      <c r="C31" s="353"/>
      <c r="D31" s="353"/>
      <c r="E31" s="353"/>
      <c r="F31" s="353"/>
      <c r="G31" s="353"/>
      <c r="H31" s="353"/>
      <c r="I31" s="353"/>
      <c r="J31" s="353"/>
      <c r="K31" s="353"/>
      <c r="L31" s="353"/>
      <c r="M31" s="353"/>
      <c r="N31" s="353"/>
      <c r="O31" s="353"/>
      <c r="P31" s="353"/>
      <c r="Q31" s="353"/>
      <c r="R31" s="353"/>
      <c r="S31" s="353"/>
      <c r="T31" s="353"/>
      <c r="U31" s="353"/>
    </row>
    <row r="32" spans="2:21">
      <c r="B32" s="353"/>
      <c r="C32" s="353"/>
      <c r="D32" s="353"/>
      <c r="E32" s="353"/>
      <c r="F32" s="353"/>
      <c r="G32" s="353"/>
      <c r="H32" s="353"/>
      <c r="I32" s="353"/>
      <c r="J32" s="353"/>
      <c r="K32" s="353"/>
      <c r="L32" s="353"/>
      <c r="M32" s="353"/>
      <c r="N32" s="353"/>
      <c r="O32" s="353"/>
      <c r="P32" s="353"/>
      <c r="Q32" s="353"/>
      <c r="R32" s="353"/>
      <c r="S32" s="353"/>
      <c r="T32" s="353"/>
      <c r="U32" s="353"/>
    </row>
    <row r="33" spans="2:21">
      <c r="B33" s="353"/>
      <c r="C33" s="353"/>
      <c r="D33" s="353"/>
      <c r="E33" s="353"/>
      <c r="F33" s="353"/>
      <c r="G33" s="353"/>
      <c r="H33" s="353"/>
      <c r="I33" s="353"/>
      <c r="J33" s="353"/>
      <c r="K33" s="353"/>
      <c r="L33" s="353"/>
      <c r="M33" s="353"/>
      <c r="N33" s="353"/>
      <c r="O33" s="353"/>
      <c r="P33" s="353"/>
      <c r="Q33" s="353"/>
      <c r="R33" s="353"/>
      <c r="S33" s="353"/>
      <c r="T33" s="353"/>
      <c r="U33" s="353"/>
    </row>
    <row r="34" spans="2:21">
      <c r="B34" s="353"/>
      <c r="C34" s="353"/>
      <c r="D34" s="353"/>
      <c r="E34" s="353"/>
      <c r="F34" s="353"/>
      <c r="G34" s="353"/>
      <c r="H34" s="353"/>
      <c r="I34" s="353"/>
      <c r="J34" s="353"/>
      <c r="K34" s="353"/>
      <c r="L34" s="353"/>
      <c r="M34" s="353"/>
      <c r="N34" s="353"/>
      <c r="O34" s="353"/>
      <c r="P34" s="353"/>
      <c r="Q34" s="353"/>
      <c r="R34" s="353"/>
      <c r="S34" s="353"/>
      <c r="T34" s="353"/>
      <c r="U34" s="353"/>
    </row>
    <row r="35" spans="2:21">
      <c r="B35" s="353"/>
      <c r="C35" s="353"/>
      <c r="D35" s="353"/>
      <c r="E35" s="353"/>
      <c r="F35" s="353"/>
      <c r="G35" s="353"/>
      <c r="H35" s="353"/>
      <c r="I35" s="353"/>
      <c r="J35" s="353"/>
      <c r="K35" s="353"/>
      <c r="L35" s="353"/>
      <c r="M35" s="353"/>
      <c r="N35" s="353"/>
      <c r="O35" s="353"/>
      <c r="P35" s="353"/>
      <c r="Q35" s="353"/>
      <c r="R35" s="353"/>
      <c r="S35" s="353"/>
      <c r="T35" s="353"/>
      <c r="U35" s="353"/>
    </row>
    <row r="36" spans="2:21">
      <c r="B36" s="353"/>
      <c r="C36" s="353"/>
      <c r="D36" s="353"/>
      <c r="E36" s="353"/>
      <c r="F36" s="353"/>
      <c r="G36" s="353"/>
      <c r="H36" s="353"/>
      <c r="I36" s="353"/>
      <c r="J36" s="353"/>
      <c r="K36" s="353"/>
      <c r="L36" s="353"/>
      <c r="M36" s="353"/>
      <c r="N36" s="353"/>
      <c r="O36" s="353"/>
      <c r="P36" s="353"/>
      <c r="Q36" s="353"/>
      <c r="R36" s="353"/>
      <c r="S36" s="353"/>
      <c r="T36" s="353"/>
      <c r="U36" s="353"/>
    </row>
    <row r="37" spans="2:21">
      <c r="B37" s="353"/>
      <c r="C37" s="353"/>
      <c r="D37" s="353"/>
      <c r="E37" s="353"/>
      <c r="F37" s="353"/>
      <c r="G37" s="353"/>
      <c r="H37" s="353"/>
      <c r="I37" s="353"/>
      <c r="J37" s="353"/>
      <c r="K37" s="353"/>
      <c r="L37" s="353"/>
      <c r="M37" s="353"/>
      <c r="N37" s="353"/>
      <c r="O37" s="353"/>
      <c r="P37" s="353"/>
      <c r="Q37" s="353"/>
      <c r="R37" s="353"/>
      <c r="S37" s="353"/>
      <c r="T37" s="353"/>
      <c r="U37" s="353"/>
    </row>
    <row r="38" spans="2:21">
      <c r="B38" s="353"/>
      <c r="C38" s="353"/>
      <c r="D38" s="353"/>
      <c r="E38" s="353"/>
      <c r="F38" s="353"/>
      <c r="G38" s="353"/>
      <c r="H38" s="353"/>
      <c r="I38" s="353"/>
      <c r="J38" s="353"/>
      <c r="K38" s="353"/>
      <c r="L38" s="353"/>
      <c r="M38" s="353"/>
      <c r="N38" s="353"/>
      <c r="O38" s="353"/>
      <c r="P38" s="353"/>
      <c r="Q38" s="353"/>
      <c r="R38" s="353"/>
      <c r="S38" s="353"/>
      <c r="T38" s="353"/>
      <c r="U38" s="353"/>
    </row>
    <row r="39" spans="2:21">
      <c r="B39" s="353"/>
      <c r="C39" s="353"/>
      <c r="D39" s="353"/>
      <c r="E39" s="353"/>
      <c r="F39" s="353"/>
      <c r="G39" s="353"/>
      <c r="H39" s="353"/>
      <c r="I39" s="353"/>
      <c r="J39" s="353"/>
      <c r="K39" s="353"/>
      <c r="L39" s="353"/>
      <c r="M39" s="353"/>
      <c r="N39" s="353"/>
      <c r="O39" s="353"/>
      <c r="P39" s="353"/>
      <c r="Q39" s="353"/>
      <c r="R39" s="353"/>
      <c r="S39" s="353"/>
      <c r="T39" s="353"/>
      <c r="U39" s="353"/>
    </row>
    <row r="40" spans="2:21">
      <c r="B40" s="353"/>
      <c r="C40" s="353"/>
      <c r="D40" s="353"/>
      <c r="E40" s="353"/>
      <c r="F40" s="353"/>
      <c r="G40" s="353"/>
      <c r="H40" s="353"/>
      <c r="I40" s="353"/>
      <c r="J40" s="353"/>
      <c r="K40" s="353"/>
      <c r="L40" s="353"/>
      <c r="M40" s="353"/>
      <c r="N40" s="353"/>
      <c r="O40" s="353"/>
      <c r="P40" s="353"/>
      <c r="Q40" s="353"/>
      <c r="R40" s="353"/>
      <c r="S40" s="353"/>
      <c r="T40" s="353"/>
      <c r="U40" s="353"/>
    </row>
    <row r="41" spans="2:21">
      <c r="B41" s="353"/>
      <c r="C41" s="353"/>
      <c r="D41" s="353"/>
      <c r="E41" s="353"/>
      <c r="F41" s="353"/>
      <c r="G41" s="353"/>
      <c r="H41" s="353"/>
      <c r="I41" s="353"/>
      <c r="J41" s="353"/>
      <c r="K41" s="353"/>
      <c r="L41" s="353"/>
      <c r="M41" s="353"/>
      <c r="N41" s="353"/>
      <c r="O41" s="353"/>
      <c r="P41" s="353"/>
      <c r="Q41" s="353"/>
      <c r="R41" s="353"/>
      <c r="S41" s="353"/>
      <c r="T41" s="353"/>
      <c r="U41" s="353"/>
    </row>
    <row r="42" spans="2:21">
      <c r="B42" s="353"/>
      <c r="C42" s="353"/>
      <c r="D42" s="353"/>
      <c r="E42" s="353"/>
      <c r="F42" s="353"/>
      <c r="G42" s="353"/>
      <c r="H42" s="353"/>
      <c r="I42" s="353"/>
      <c r="J42" s="353"/>
      <c r="K42" s="353"/>
      <c r="L42" s="353"/>
      <c r="M42" s="353"/>
      <c r="N42" s="353"/>
      <c r="O42" s="353"/>
      <c r="P42" s="353"/>
      <c r="Q42" s="353"/>
      <c r="R42" s="353"/>
      <c r="S42" s="353"/>
      <c r="T42" s="353"/>
      <c r="U42" s="353"/>
    </row>
    <row r="43" spans="2:21">
      <c r="B43" s="353"/>
      <c r="C43" s="353"/>
      <c r="D43" s="353"/>
      <c r="E43" s="353"/>
      <c r="F43" s="353"/>
      <c r="G43" s="353"/>
      <c r="H43" s="353"/>
      <c r="I43" s="353"/>
      <c r="J43" s="353"/>
      <c r="K43" s="353"/>
      <c r="L43" s="353"/>
      <c r="M43" s="353"/>
      <c r="N43" s="353"/>
      <c r="O43" s="353"/>
      <c r="P43" s="353"/>
      <c r="Q43" s="353"/>
      <c r="R43" s="353"/>
      <c r="S43" s="353"/>
      <c r="T43" s="353"/>
      <c r="U43" s="353"/>
    </row>
    <row r="44" spans="2:21">
      <c r="B44" s="353"/>
      <c r="C44" s="353"/>
      <c r="D44" s="353"/>
      <c r="E44" s="353"/>
      <c r="F44" s="353"/>
      <c r="G44" s="353"/>
      <c r="H44" s="353"/>
      <c r="I44" s="353"/>
      <c r="J44" s="353"/>
      <c r="K44" s="353"/>
      <c r="L44" s="353"/>
      <c r="M44" s="353"/>
      <c r="N44" s="353"/>
      <c r="O44" s="353"/>
      <c r="P44" s="353"/>
      <c r="Q44" s="353"/>
      <c r="R44" s="353"/>
      <c r="S44" s="353"/>
      <c r="T44" s="353"/>
      <c r="U44" s="353"/>
    </row>
    <row r="45" spans="2:21">
      <c r="B45" s="353"/>
      <c r="C45" s="353"/>
      <c r="D45" s="353"/>
      <c r="E45" s="353"/>
      <c r="F45" s="353"/>
      <c r="G45" s="353"/>
      <c r="H45" s="353"/>
      <c r="I45" s="353"/>
      <c r="J45" s="353"/>
      <c r="K45" s="353"/>
      <c r="L45" s="353"/>
      <c r="M45" s="353"/>
      <c r="N45" s="353"/>
      <c r="O45" s="353"/>
      <c r="P45" s="353"/>
      <c r="Q45" s="353"/>
      <c r="R45" s="353"/>
      <c r="S45" s="353"/>
      <c r="T45" s="353"/>
      <c r="U45" s="353"/>
    </row>
    <row r="46" spans="2:21">
      <c r="B46" s="353"/>
      <c r="C46" s="353"/>
      <c r="D46" s="353"/>
      <c r="E46" s="353"/>
      <c r="F46" s="353"/>
      <c r="G46" s="353"/>
      <c r="H46" s="353"/>
      <c r="I46" s="353"/>
      <c r="J46" s="353"/>
      <c r="K46" s="353"/>
      <c r="L46" s="353"/>
      <c r="M46" s="353"/>
      <c r="N46" s="353"/>
      <c r="O46" s="353"/>
      <c r="P46" s="353"/>
      <c r="Q46" s="353"/>
      <c r="R46" s="353"/>
      <c r="S46" s="353"/>
      <c r="T46" s="353"/>
      <c r="U46" s="353"/>
    </row>
    <row r="47" spans="2:21">
      <c r="B47" s="353"/>
      <c r="C47" s="353"/>
      <c r="D47" s="353"/>
      <c r="E47" s="353"/>
      <c r="F47" s="353"/>
      <c r="G47" s="353"/>
      <c r="H47" s="353"/>
      <c r="I47" s="353"/>
      <c r="J47" s="353"/>
      <c r="K47" s="353"/>
      <c r="L47" s="353"/>
      <c r="M47" s="353"/>
      <c r="N47" s="353"/>
      <c r="O47" s="353"/>
      <c r="P47" s="353"/>
      <c r="Q47" s="353"/>
      <c r="R47" s="353"/>
      <c r="S47" s="353"/>
      <c r="T47" s="353"/>
      <c r="U47" s="353"/>
    </row>
    <row r="48" spans="2:21" ht="15" thickBot="1"/>
    <row r="49" spans="1:24">
      <c r="A49" s="441"/>
      <c r="B49" s="442"/>
      <c r="C49" s="442"/>
      <c r="D49" s="442"/>
      <c r="E49" s="442"/>
      <c r="F49" s="438" t="s">
        <v>431</v>
      </c>
      <c r="G49" s="439"/>
      <c r="H49" s="439"/>
      <c r="I49" s="439"/>
      <c r="J49" s="439"/>
      <c r="K49" s="439"/>
      <c r="L49" s="439"/>
      <c r="M49" s="439"/>
      <c r="N49" s="439"/>
      <c r="O49" s="439"/>
      <c r="P49" s="439"/>
      <c r="Q49" s="439"/>
      <c r="R49" s="442"/>
      <c r="S49" s="442"/>
      <c r="T49" s="442"/>
      <c r="U49" s="442"/>
      <c r="V49" s="443"/>
    </row>
    <row r="50" spans="1:24">
      <c r="A50" s="217"/>
      <c r="B50" s="218"/>
      <c r="C50" s="218"/>
      <c r="D50" s="218"/>
      <c r="E50" s="218"/>
      <c r="F50" s="440"/>
      <c r="G50" s="440"/>
      <c r="H50" s="440"/>
      <c r="I50" s="440"/>
      <c r="J50" s="440"/>
      <c r="K50" s="440"/>
      <c r="L50" s="440"/>
      <c r="M50" s="440"/>
      <c r="N50" s="440"/>
      <c r="O50" s="440"/>
      <c r="P50" s="440"/>
      <c r="Q50" s="440"/>
      <c r="R50" s="218"/>
      <c r="S50" s="218"/>
      <c r="T50" s="218"/>
      <c r="U50" s="218"/>
      <c r="V50" s="444"/>
    </row>
    <row r="51" spans="1:24">
      <c r="A51" s="217"/>
      <c r="B51" s="218"/>
      <c r="C51" s="218"/>
      <c r="D51" s="218"/>
      <c r="E51" s="218"/>
      <c r="F51" s="440"/>
      <c r="G51" s="440"/>
      <c r="H51" s="440"/>
      <c r="I51" s="440"/>
      <c r="J51" s="440"/>
      <c r="K51" s="440"/>
      <c r="L51" s="440"/>
      <c r="M51" s="440"/>
      <c r="N51" s="440"/>
      <c r="O51" s="440"/>
      <c r="P51" s="440"/>
      <c r="Q51" s="440"/>
      <c r="R51" s="218"/>
      <c r="S51" s="218"/>
      <c r="T51" s="218"/>
      <c r="U51" s="218"/>
      <c r="V51" s="444"/>
    </row>
    <row r="52" spans="1:24">
      <c r="A52" s="217"/>
      <c r="B52" s="218"/>
      <c r="C52" s="218"/>
      <c r="D52" s="218"/>
      <c r="E52" s="218"/>
      <c r="F52" s="440"/>
      <c r="G52" s="440"/>
      <c r="H52" s="440"/>
      <c r="I52" s="440"/>
      <c r="J52" s="440"/>
      <c r="K52" s="440"/>
      <c r="L52" s="440"/>
      <c r="M52" s="440"/>
      <c r="N52" s="440"/>
      <c r="O52" s="440"/>
      <c r="P52" s="440"/>
      <c r="Q52" s="440"/>
      <c r="R52" s="218"/>
      <c r="S52" s="218"/>
      <c r="T52" s="218"/>
      <c r="U52" s="218"/>
      <c r="V52" s="444"/>
    </row>
    <row r="53" spans="1:24">
      <c r="A53" s="217"/>
      <c r="B53" s="218"/>
      <c r="C53" s="218"/>
      <c r="D53" s="218"/>
      <c r="E53" s="218"/>
      <c r="F53" s="440"/>
      <c r="G53" s="440"/>
      <c r="H53" s="440"/>
      <c r="I53" s="440"/>
      <c r="J53" s="440"/>
      <c r="K53" s="440"/>
      <c r="L53" s="440"/>
      <c r="M53" s="440"/>
      <c r="N53" s="440"/>
      <c r="O53" s="440"/>
      <c r="P53" s="440"/>
      <c r="Q53" s="440"/>
      <c r="R53" s="218"/>
      <c r="S53" s="218"/>
      <c r="T53" s="218"/>
      <c r="U53" s="218"/>
      <c r="V53" s="444"/>
    </row>
    <row r="54" spans="1:24" ht="15">
      <c r="A54" s="217"/>
      <c r="B54" s="218"/>
      <c r="C54" s="218"/>
      <c r="D54" s="218"/>
      <c r="E54" s="218"/>
      <c r="F54" s="396" t="s">
        <v>432</v>
      </c>
      <c r="G54" s="396"/>
      <c r="H54" s="396"/>
      <c r="I54" s="396"/>
      <c r="J54" s="396"/>
      <c r="K54" s="396"/>
      <c r="L54" s="396"/>
      <c r="M54" s="396"/>
      <c r="N54" s="396"/>
      <c r="O54" s="396"/>
      <c r="P54" s="396"/>
      <c r="Q54" s="396"/>
      <c r="R54" s="218"/>
      <c r="S54" s="218"/>
      <c r="T54" s="218"/>
      <c r="U54" s="218"/>
      <c r="V54" s="444"/>
    </row>
    <row r="55" spans="1:24">
      <c r="A55" s="429" t="s">
        <v>429</v>
      </c>
      <c r="B55" s="430"/>
      <c r="C55" s="430"/>
      <c r="D55" s="430"/>
      <c r="E55" s="430"/>
      <c r="F55" s="431" t="s">
        <v>434</v>
      </c>
      <c r="G55" s="431"/>
      <c r="H55" s="431"/>
      <c r="I55" s="431"/>
      <c r="J55" s="431"/>
      <c r="K55" s="431"/>
      <c r="L55" s="431"/>
      <c r="M55" s="431"/>
      <c r="N55" s="431"/>
      <c r="O55" s="431" t="s">
        <v>433</v>
      </c>
      <c r="P55" s="431"/>
      <c r="Q55" s="2"/>
      <c r="R55" s="431" t="s">
        <v>436</v>
      </c>
      <c r="S55" s="431"/>
      <c r="T55" s="431"/>
      <c r="U55" s="431"/>
      <c r="V55" s="432"/>
    </row>
    <row r="56" spans="1:24" ht="15" thickBot="1">
      <c r="A56" s="434" t="s">
        <v>430</v>
      </c>
      <c r="B56" s="435"/>
      <c r="C56" s="435"/>
      <c r="D56" s="435"/>
      <c r="E56" s="435"/>
      <c r="F56" s="436" t="s">
        <v>435</v>
      </c>
      <c r="G56" s="436"/>
      <c r="H56" s="436"/>
      <c r="I56" s="436"/>
      <c r="J56" s="436"/>
      <c r="K56" s="436"/>
      <c r="L56" s="436"/>
      <c r="M56" s="436"/>
      <c r="N56" s="436"/>
      <c r="O56" s="436"/>
      <c r="P56" s="436"/>
      <c r="Q56" s="436"/>
      <c r="R56" s="436" t="s">
        <v>437</v>
      </c>
      <c r="S56" s="436"/>
      <c r="T56" s="436"/>
      <c r="U56" s="436"/>
      <c r="V56" s="437"/>
    </row>
    <row r="57" spans="1:24">
      <c r="B57" s="428" t="s">
        <v>76</v>
      </c>
      <c r="C57" s="428"/>
      <c r="D57" s="428"/>
      <c r="E57" s="428"/>
      <c r="F57" s="428"/>
      <c r="G57" s="428"/>
      <c r="H57" s="428"/>
    </row>
    <row r="58" spans="1:24">
      <c r="B58" s="428"/>
      <c r="C58" s="428"/>
      <c r="D58" s="428"/>
      <c r="E58" s="428"/>
      <c r="F58" s="428"/>
      <c r="G58" s="428"/>
      <c r="H58" s="428"/>
    </row>
    <row r="59" spans="1:24">
      <c r="B59" s="399" t="s">
        <v>440</v>
      </c>
      <c r="C59" s="400"/>
      <c r="D59" s="400"/>
      <c r="E59" s="400"/>
      <c r="F59" s="400"/>
      <c r="G59" s="400"/>
      <c r="H59" s="400"/>
      <c r="I59" s="400"/>
      <c r="J59" s="400"/>
      <c r="K59" s="400"/>
      <c r="L59" s="400"/>
      <c r="M59" s="400"/>
      <c r="N59" s="400"/>
      <c r="O59" s="400"/>
      <c r="P59" s="400"/>
      <c r="Q59" s="400"/>
      <c r="R59" s="400"/>
      <c r="S59" s="400"/>
      <c r="T59" s="400"/>
      <c r="U59" s="400"/>
    </row>
    <row r="60" spans="1:24">
      <c r="B60" s="400"/>
      <c r="C60" s="400"/>
      <c r="D60" s="400"/>
      <c r="E60" s="400"/>
      <c r="F60" s="400"/>
      <c r="G60" s="400"/>
      <c r="H60" s="400"/>
      <c r="I60" s="400"/>
      <c r="J60" s="400"/>
      <c r="K60" s="400"/>
      <c r="L60" s="400"/>
      <c r="M60" s="400"/>
      <c r="N60" s="400"/>
      <c r="O60" s="400"/>
      <c r="P60" s="400"/>
      <c r="Q60" s="400"/>
      <c r="R60" s="400"/>
      <c r="S60" s="400"/>
      <c r="T60" s="400"/>
      <c r="U60" s="400"/>
    </row>
    <row r="61" spans="1:24">
      <c r="B61" s="400"/>
      <c r="C61" s="400"/>
      <c r="D61" s="400"/>
      <c r="E61" s="400"/>
      <c r="F61" s="400"/>
      <c r="G61" s="400"/>
      <c r="H61" s="400"/>
      <c r="I61" s="400"/>
      <c r="J61" s="400"/>
      <c r="K61" s="400"/>
      <c r="L61" s="400"/>
      <c r="M61" s="400"/>
      <c r="N61" s="400"/>
      <c r="O61" s="400"/>
      <c r="P61" s="400"/>
      <c r="Q61" s="400"/>
      <c r="R61" s="400"/>
      <c r="S61" s="400"/>
      <c r="T61" s="400"/>
      <c r="U61" s="400"/>
    </row>
    <row r="62" spans="1:24">
      <c r="B62" s="400"/>
      <c r="C62" s="400"/>
      <c r="D62" s="400"/>
      <c r="E62" s="400"/>
      <c r="F62" s="400"/>
      <c r="G62" s="400"/>
      <c r="H62" s="400"/>
      <c r="I62" s="400"/>
      <c r="J62" s="400"/>
      <c r="K62" s="400"/>
      <c r="L62" s="400"/>
      <c r="M62" s="400"/>
      <c r="N62" s="400"/>
      <c r="O62" s="400"/>
      <c r="P62" s="400"/>
      <c r="Q62" s="400"/>
      <c r="R62" s="400"/>
      <c r="S62" s="400"/>
      <c r="T62" s="400"/>
      <c r="U62" s="400"/>
    </row>
    <row r="63" spans="1:24">
      <c r="B63" s="400"/>
      <c r="C63" s="400"/>
      <c r="D63" s="400"/>
      <c r="E63" s="400"/>
      <c r="F63" s="400"/>
      <c r="G63" s="400"/>
      <c r="H63" s="400"/>
      <c r="I63" s="400"/>
      <c r="J63" s="400"/>
      <c r="K63" s="400"/>
      <c r="L63" s="400"/>
      <c r="M63" s="400"/>
      <c r="N63" s="400"/>
      <c r="O63" s="400"/>
      <c r="P63" s="400"/>
      <c r="Q63" s="400"/>
      <c r="R63" s="400"/>
      <c r="S63" s="400"/>
      <c r="T63" s="400"/>
      <c r="U63" s="400"/>
      <c r="X63">
        <f xml:space="preserve"> (3*3*4/17) * (165/190)^2</f>
        <v>1.5970343816196841</v>
      </c>
    </row>
    <row r="64" spans="1:24">
      <c r="B64" s="400"/>
      <c r="C64" s="400"/>
      <c r="D64" s="400"/>
      <c r="E64" s="400"/>
      <c r="F64" s="400"/>
      <c r="G64" s="400"/>
      <c r="H64" s="400"/>
      <c r="I64" s="400"/>
      <c r="J64" s="400"/>
      <c r="K64" s="400"/>
      <c r="L64" s="400"/>
      <c r="M64" s="400"/>
      <c r="N64" s="400"/>
      <c r="O64" s="400"/>
      <c r="P64" s="400"/>
      <c r="Q64" s="400"/>
      <c r="R64" s="400"/>
      <c r="S64" s="400"/>
      <c r="T64" s="400"/>
      <c r="U64" s="400"/>
    </row>
    <row r="65" spans="2:21">
      <c r="B65" s="400"/>
      <c r="C65" s="400"/>
      <c r="D65" s="400"/>
      <c r="E65" s="400"/>
      <c r="F65" s="400"/>
      <c r="G65" s="400"/>
      <c r="H65" s="400"/>
      <c r="I65" s="400"/>
      <c r="J65" s="400"/>
      <c r="K65" s="400"/>
      <c r="L65" s="400"/>
      <c r="M65" s="400"/>
      <c r="N65" s="400"/>
      <c r="O65" s="400"/>
      <c r="P65" s="400"/>
      <c r="Q65" s="400"/>
      <c r="R65" s="400"/>
      <c r="S65" s="400"/>
      <c r="T65" s="400"/>
      <c r="U65" s="400"/>
    </row>
    <row r="66" spans="2:21">
      <c r="B66" s="400"/>
      <c r="C66" s="400"/>
      <c r="D66" s="400"/>
      <c r="E66" s="400"/>
      <c r="F66" s="400"/>
      <c r="G66" s="400"/>
      <c r="H66" s="400"/>
      <c r="I66" s="400"/>
      <c r="J66" s="400"/>
      <c r="K66" s="400"/>
      <c r="L66" s="400"/>
      <c r="M66" s="400"/>
      <c r="N66" s="400"/>
      <c r="O66" s="400"/>
      <c r="P66" s="400"/>
      <c r="Q66" s="400"/>
      <c r="R66" s="400"/>
      <c r="S66" s="400"/>
      <c r="T66" s="400"/>
      <c r="U66" s="400"/>
    </row>
    <row r="67" spans="2:21">
      <c r="B67" s="400"/>
      <c r="C67" s="400"/>
      <c r="D67" s="400"/>
      <c r="E67" s="400"/>
      <c r="F67" s="400"/>
      <c r="G67" s="400"/>
      <c r="H67" s="400"/>
      <c r="I67" s="400"/>
      <c r="J67" s="400"/>
      <c r="K67" s="400"/>
      <c r="L67" s="400"/>
      <c r="M67" s="400"/>
      <c r="N67" s="400"/>
      <c r="O67" s="400"/>
      <c r="P67" s="400"/>
      <c r="Q67" s="400"/>
      <c r="R67" s="400"/>
      <c r="S67" s="400"/>
      <c r="T67" s="400"/>
      <c r="U67" s="400"/>
    </row>
    <row r="68" spans="2:21">
      <c r="B68" s="399" t="s">
        <v>77</v>
      </c>
      <c r="C68" s="400"/>
      <c r="D68" s="400"/>
      <c r="E68" s="400"/>
      <c r="F68" s="400"/>
      <c r="G68" s="400"/>
      <c r="H68" s="400"/>
      <c r="I68" s="400"/>
      <c r="J68" s="400"/>
      <c r="K68" s="400"/>
      <c r="L68" s="400"/>
      <c r="M68" s="400"/>
      <c r="N68" s="400"/>
      <c r="O68" s="400"/>
      <c r="P68" s="400"/>
      <c r="Q68" s="400"/>
      <c r="R68" s="400"/>
      <c r="S68" s="400"/>
      <c r="T68" s="400"/>
      <c r="U68" s="400"/>
    </row>
    <row r="69" spans="2:21">
      <c r="B69" s="400"/>
      <c r="C69" s="400"/>
      <c r="D69" s="400"/>
      <c r="E69" s="400"/>
      <c r="F69" s="400"/>
      <c r="G69" s="400"/>
      <c r="H69" s="400"/>
      <c r="I69" s="400"/>
      <c r="J69" s="400"/>
      <c r="K69" s="400"/>
      <c r="L69" s="400"/>
      <c r="M69" s="400"/>
      <c r="N69" s="400"/>
      <c r="O69" s="400"/>
      <c r="P69" s="400"/>
      <c r="Q69" s="400"/>
      <c r="R69" s="400"/>
      <c r="S69" s="400"/>
      <c r="T69" s="400"/>
      <c r="U69" s="400"/>
    </row>
    <row r="70" spans="2:21">
      <c r="G70" s="353"/>
      <c r="H70" s="353"/>
      <c r="I70" s="353"/>
      <c r="J70" s="353"/>
      <c r="K70" s="353"/>
      <c r="L70" s="353"/>
      <c r="M70" s="353"/>
      <c r="N70" s="353"/>
      <c r="O70" s="353"/>
    </row>
    <row r="71" spans="2:21">
      <c r="G71" s="353"/>
      <c r="H71" s="353"/>
      <c r="I71" s="353"/>
      <c r="J71" s="353"/>
      <c r="K71" s="353"/>
      <c r="L71" s="353"/>
      <c r="M71" s="353"/>
      <c r="N71" s="353"/>
      <c r="O71" s="353"/>
    </row>
    <row r="72" spans="2:21">
      <c r="G72" s="353"/>
      <c r="H72" s="353"/>
      <c r="I72" s="353"/>
      <c r="J72" s="353"/>
      <c r="K72" s="353"/>
      <c r="L72" s="353"/>
      <c r="M72" s="353"/>
      <c r="N72" s="353"/>
      <c r="O72" s="353"/>
    </row>
    <row r="73" spans="2:21">
      <c r="G73" s="353"/>
      <c r="H73" s="353"/>
      <c r="I73" s="353"/>
      <c r="J73" s="353"/>
      <c r="K73" s="353"/>
      <c r="L73" s="353"/>
      <c r="M73" s="353"/>
      <c r="N73" s="353"/>
      <c r="O73" s="353"/>
    </row>
    <row r="74" spans="2:21">
      <c r="G74" s="353"/>
      <c r="H74" s="353"/>
      <c r="I74" s="353"/>
      <c r="J74" s="353"/>
      <c r="K74" s="353"/>
      <c r="L74" s="353"/>
      <c r="M74" s="353"/>
      <c r="N74" s="353"/>
      <c r="O74" s="353"/>
    </row>
    <row r="75" spans="2:21">
      <c r="G75" s="353"/>
      <c r="H75" s="353"/>
      <c r="I75" s="353"/>
      <c r="J75" s="353"/>
      <c r="K75" s="353"/>
      <c r="L75" s="353"/>
      <c r="M75" s="353"/>
      <c r="N75" s="353"/>
      <c r="O75" s="353"/>
    </row>
    <row r="76" spans="2:21">
      <c r="G76" s="353"/>
      <c r="H76" s="353"/>
      <c r="I76" s="353"/>
      <c r="J76" s="353"/>
      <c r="K76" s="353"/>
      <c r="L76" s="353"/>
      <c r="M76" s="353"/>
      <c r="N76" s="353"/>
      <c r="O76" s="353"/>
    </row>
    <row r="77" spans="2:21">
      <c r="G77" s="353"/>
      <c r="H77" s="353"/>
      <c r="I77" s="353"/>
      <c r="J77" s="353"/>
      <c r="K77" s="353"/>
      <c r="L77" s="353"/>
      <c r="M77" s="353"/>
      <c r="N77" s="353"/>
      <c r="O77" s="353"/>
    </row>
    <row r="78" spans="2:21">
      <c r="G78" s="353"/>
      <c r="H78" s="353"/>
      <c r="I78" s="353"/>
      <c r="J78" s="353"/>
      <c r="K78" s="353"/>
      <c r="L78" s="353"/>
      <c r="M78" s="353"/>
      <c r="N78" s="353"/>
      <c r="O78" s="353"/>
    </row>
    <row r="79" spans="2:21">
      <c r="G79" s="353"/>
      <c r="H79" s="353"/>
      <c r="I79" s="353"/>
      <c r="J79" s="353"/>
      <c r="K79" s="353"/>
      <c r="L79" s="353"/>
      <c r="M79" s="353"/>
      <c r="N79" s="353"/>
      <c r="O79" s="353"/>
    </row>
    <row r="80" spans="2:21">
      <c r="B80" s="400" t="s">
        <v>78</v>
      </c>
      <c r="C80" s="400"/>
      <c r="D80" s="400"/>
      <c r="E80" s="400"/>
      <c r="F80" s="400"/>
      <c r="G80" s="400"/>
      <c r="H80" s="400"/>
      <c r="I80" s="400"/>
      <c r="J80" s="400"/>
      <c r="K80" s="400"/>
      <c r="L80" s="400"/>
      <c r="M80" s="400"/>
      <c r="N80" s="400"/>
      <c r="O80" s="400"/>
      <c r="P80" s="400"/>
      <c r="Q80" s="400"/>
      <c r="R80" s="400"/>
      <c r="S80" s="400"/>
      <c r="T80" s="400"/>
      <c r="U80" s="400"/>
    </row>
    <row r="81" spans="1:22">
      <c r="B81" s="400"/>
      <c r="C81" s="400"/>
      <c r="D81" s="400"/>
      <c r="E81" s="400"/>
      <c r="F81" s="400"/>
      <c r="G81" s="400"/>
      <c r="H81" s="400"/>
      <c r="I81" s="400"/>
      <c r="J81" s="400"/>
      <c r="K81" s="400"/>
      <c r="L81" s="400"/>
      <c r="M81" s="400"/>
      <c r="N81" s="400"/>
      <c r="O81" s="400"/>
      <c r="P81" s="400"/>
      <c r="Q81" s="400"/>
      <c r="R81" s="400"/>
      <c r="S81" s="400"/>
      <c r="T81" s="400"/>
      <c r="U81" s="400"/>
    </row>
    <row r="82" spans="1:22">
      <c r="B82" s="400"/>
      <c r="C82" s="400"/>
      <c r="D82" s="400"/>
      <c r="E82" s="400"/>
      <c r="F82" s="400"/>
      <c r="G82" s="400"/>
      <c r="H82" s="400"/>
      <c r="I82" s="400"/>
      <c r="J82" s="400"/>
      <c r="K82" s="400"/>
      <c r="L82" s="400"/>
      <c r="M82" s="400"/>
      <c r="N82" s="400"/>
      <c r="O82" s="400"/>
      <c r="P82" s="400"/>
      <c r="Q82" s="400"/>
      <c r="R82" s="400"/>
      <c r="S82" s="400"/>
      <c r="T82" s="400"/>
      <c r="U82" s="400"/>
    </row>
    <row r="83" spans="1:22">
      <c r="B83" s="427" t="s">
        <v>79</v>
      </c>
      <c r="C83" s="427"/>
      <c r="D83" s="427"/>
      <c r="E83" s="427"/>
      <c r="F83" s="427"/>
      <c r="G83" s="427"/>
      <c r="H83" s="427"/>
      <c r="I83" s="427"/>
      <c r="J83" s="427"/>
      <c r="K83" s="427"/>
      <c r="L83" s="427"/>
      <c r="M83" s="427"/>
      <c r="N83" s="427"/>
      <c r="O83" s="427"/>
      <c r="P83" s="427"/>
      <c r="Q83" s="427"/>
      <c r="R83" s="427"/>
      <c r="S83" s="427"/>
      <c r="T83" s="427"/>
      <c r="U83" s="427"/>
    </row>
    <row r="84" spans="1:22">
      <c r="B84" s="427"/>
      <c r="C84" s="427"/>
      <c r="D84" s="427"/>
      <c r="E84" s="427"/>
      <c r="F84" s="427"/>
      <c r="G84" s="427"/>
      <c r="H84" s="427"/>
      <c r="I84" s="427"/>
      <c r="J84" s="427"/>
      <c r="K84" s="427"/>
      <c r="L84" s="427"/>
      <c r="M84" s="427"/>
      <c r="N84" s="427"/>
      <c r="O84" s="427"/>
      <c r="P84" s="427"/>
      <c r="Q84" s="427"/>
      <c r="R84" s="427"/>
      <c r="S84" s="427"/>
      <c r="T84" s="427"/>
      <c r="U84" s="427"/>
    </row>
    <row r="85" spans="1:22">
      <c r="B85" s="400" t="s">
        <v>80</v>
      </c>
      <c r="C85" s="400"/>
      <c r="D85" s="400"/>
      <c r="E85" s="400"/>
      <c r="F85" s="400"/>
      <c r="G85" s="400"/>
      <c r="H85" s="400"/>
      <c r="I85" s="400"/>
      <c r="J85" s="353"/>
      <c r="K85" s="353"/>
      <c r="L85" s="353"/>
      <c r="M85" s="353"/>
      <c r="N85" s="353"/>
      <c r="O85" s="353"/>
      <c r="P85" s="353"/>
    </row>
    <row r="86" spans="1:22">
      <c r="B86" s="400"/>
      <c r="C86" s="400"/>
      <c r="D86" s="400"/>
      <c r="E86" s="400"/>
      <c r="F86" s="400"/>
      <c r="G86" s="400"/>
      <c r="H86" s="400"/>
      <c r="I86" s="400"/>
      <c r="J86" s="353"/>
      <c r="K86" s="353"/>
      <c r="L86" s="353"/>
      <c r="M86" s="353"/>
      <c r="N86" s="353"/>
      <c r="O86" s="353"/>
      <c r="P86" s="353"/>
    </row>
    <row r="87" spans="1:22">
      <c r="B87" s="424" t="s">
        <v>81</v>
      </c>
      <c r="C87" s="425"/>
      <c r="D87" s="425"/>
      <c r="E87" s="425"/>
      <c r="F87" s="425"/>
      <c r="G87" s="425"/>
      <c r="H87" s="425"/>
      <c r="I87" s="425"/>
      <c r="J87" s="353"/>
      <c r="K87" s="353"/>
      <c r="L87" s="353"/>
      <c r="M87" s="353"/>
      <c r="N87" s="353"/>
      <c r="O87" s="353"/>
      <c r="P87" s="353"/>
    </row>
    <row r="88" spans="1:22">
      <c r="B88" s="425"/>
      <c r="C88" s="425"/>
      <c r="D88" s="425"/>
      <c r="E88" s="425"/>
      <c r="F88" s="425"/>
      <c r="G88" s="425"/>
      <c r="H88" s="425"/>
      <c r="I88" s="425"/>
      <c r="J88" s="353"/>
      <c r="K88" s="353"/>
      <c r="L88" s="353"/>
      <c r="M88" s="353"/>
      <c r="N88" s="353"/>
      <c r="O88" s="353"/>
      <c r="P88" s="353"/>
    </row>
    <row r="89" spans="1:22">
      <c r="B89" s="425"/>
      <c r="C89" s="425"/>
      <c r="D89" s="425"/>
      <c r="E89" s="425"/>
      <c r="F89" s="425"/>
      <c r="G89" s="425"/>
      <c r="H89" s="425"/>
      <c r="I89" s="425"/>
    </row>
    <row r="90" spans="1:22">
      <c r="B90" s="425"/>
      <c r="C90" s="425"/>
      <c r="D90" s="425"/>
      <c r="E90" s="425"/>
      <c r="F90" s="425"/>
      <c r="G90" s="425"/>
      <c r="H90" s="425"/>
      <c r="I90" s="425"/>
    </row>
    <row r="91" spans="1:22">
      <c r="B91" s="426" t="s">
        <v>82</v>
      </c>
      <c r="C91" s="426"/>
      <c r="D91" s="426"/>
      <c r="E91" s="426"/>
      <c r="F91" s="426"/>
      <c r="G91" s="426"/>
      <c r="H91" s="426"/>
      <c r="I91" s="426"/>
      <c r="J91" s="353"/>
      <c r="K91" s="353"/>
      <c r="L91" s="353"/>
      <c r="M91" s="353"/>
      <c r="N91" s="353"/>
      <c r="O91" s="353"/>
      <c r="P91" s="353"/>
      <c r="Q91" s="353"/>
    </row>
    <row r="92" spans="1:22">
      <c r="B92" s="426"/>
      <c r="C92" s="426"/>
      <c r="D92" s="426"/>
      <c r="E92" s="426"/>
      <c r="F92" s="426"/>
      <c r="G92" s="426"/>
      <c r="H92" s="426"/>
      <c r="I92" s="426"/>
      <c r="J92" s="353"/>
      <c r="K92" s="353"/>
      <c r="L92" s="353"/>
      <c r="M92" s="353"/>
      <c r="N92" s="353"/>
      <c r="O92" s="353"/>
      <c r="P92" s="353"/>
      <c r="Q92" s="353"/>
    </row>
    <row r="93" spans="1:22">
      <c r="B93" s="426"/>
      <c r="C93" s="426"/>
      <c r="D93" s="426"/>
      <c r="E93" s="426"/>
      <c r="F93" s="426"/>
      <c r="G93" s="426"/>
      <c r="H93" s="426"/>
      <c r="I93" s="426"/>
      <c r="J93" s="353"/>
      <c r="K93" s="353"/>
      <c r="L93" s="353"/>
      <c r="M93" s="353"/>
      <c r="N93" s="353"/>
      <c r="O93" s="353"/>
      <c r="P93" s="353"/>
      <c r="Q93" s="353"/>
    </row>
    <row r="94" spans="1:22">
      <c r="B94" s="426"/>
      <c r="C94" s="426"/>
      <c r="D94" s="426"/>
      <c r="E94" s="426"/>
      <c r="F94" s="426"/>
      <c r="G94" s="426"/>
      <c r="H94" s="426"/>
      <c r="I94" s="426"/>
      <c r="J94" s="353"/>
      <c r="K94" s="353"/>
      <c r="L94" s="353"/>
      <c r="M94" s="353"/>
      <c r="N94" s="353"/>
      <c r="O94" s="353"/>
      <c r="P94" s="353"/>
      <c r="Q94" s="353"/>
    </row>
    <row r="96" spans="1:22">
      <c r="A96" s="396"/>
      <c r="B96" s="396"/>
      <c r="C96" s="396"/>
      <c r="D96" s="396"/>
      <c r="E96" s="396"/>
      <c r="F96" s="422" t="s">
        <v>0</v>
      </c>
      <c r="G96" s="422"/>
      <c r="H96" s="422"/>
      <c r="I96" s="422"/>
      <c r="J96" s="422"/>
      <c r="K96" s="422"/>
      <c r="L96" s="422"/>
      <c r="M96" s="422"/>
      <c r="N96" s="422"/>
      <c r="O96" s="422"/>
      <c r="P96" s="422"/>
      <c r="Q96" s="422"/>
      <c r="R96" s="396"/>
      <c r="S96" s="396"/>
      <c r="T96" s="396"/>
      <c r="U96" s="396"/>
      <c r="V96" s="396"/>
    </row>
    <row r="97" spans="1:22">
      <c r="A97" s="396"/>
      <c r="B97" s="396"/>
      <c r="C97" s="396"/>
      <c r="D97" s="396"/>
      <c r="E97" s="396"/>
      <c r="F97" s="422"/>
      <c r="G97" s="422"/>
      <c r="H97" s="422"/>
      <c r="I97" s="422"/>
      <c r="J97" s="422"/>
      <c r="K97" s="422"/>
      <c r="L97" s="422"/>
      <c r="M97" s="422"/>
      <c r="N97" s="422"/>
      <c r="O97" s="422"/>
      <c r="P97" s="422"/>
      <c r="Q97" s="422"/>
      <c r="R97" s="396"/>
      <c r="S97" s="396"/>
      <c r="T97" s="396"/>
      <c r="U97" s="396"/>
      <c r="V97" s="396"/>
    </row>
    <row r="98" spans="1:22">
      <c r="A98" s="396"/>
      <c r="B98" s="396"/>
      <c r="C98" s="396"/>
      <c r="D98" s="396"/>
      <c r="E98" s="396"/>
      <c r="F98" s="422"/>
      <c r="G98" s="422"/>
      <c r="H98" s="422"/>
      <c r="I98" s="422"/>
      <c r="J98" s="422"/>
      <c r="K98" s="422"/>
      <c r="L98" s="422"/>
      <c r="M98" s="422"/>
      <c r="N98" s="422"/>
      <c r="O98" s="422"/>
      <c r="P98" s="422"/>
      <c r="Q98" s="422"/>
      <c r="R98" s="396"/>
      <c r="S98" s="396"/>
      <c r="T98" s="396"/>
      <c r="U98" s="396"/>
      <c r="V98" s="396"/>
    </row>
    <row r="99" spans="1:22">
      <c r="A99" s="396"/>
      <c r="B99" s="396"/>
      <c r="C99" s="396"/>
      <c r="D99" s="396"/>
      <c r="E99" s="396"/>
      <c r="F99" s="422"/>
      <c r="G99" s="422"/>
      <c r="H99" s="422"/>
      <c r="I99" s="422"/>
      <c r="J99" s="422"/>
      <c r="K99" s="422"/>
      <c r="L99" s="422"/>
      <c r="M99" s="422"/>
      <c r="N99" s="422"/>
      <c r="O99" s="422"/>
      <c r="P99" s="422"/>
      <c r="Q99" s="422"/>
      <c r="R99" s="396"/>
      <c r="S99" s="396"/>
      <c r="T99" s="396"/>
      <c r="U99" s="396"/>
      <c r="V99" s="396"/>
    </row>
    <row r="100" spans="1:22">
      <c r="A100" s="396"/>
      <c r="B100" s="396"/>
      <c r="C100" s="396"/>
      <c r="D100" s="396"/>
      <c r="E100" s="396"/>
      <c r="F100" s="422"/>
      <c r="G100" s="422"/>
      <c r="H100" s="422"/>
      <c r="I100" s="422"/>
      <c r="J100" s="422"/>
      <c r="K100" s="422"/>
      <c r="L100" s="422"/>
      <c r="M100" s="422"/>
      <c r="N100" s="422"/>
      <c r="O100" s="422"/>
      <c r="P100" s="422"/>
      <c r="Q100" s="422"/>
      <c r="R100" s="396"/>
      <c r="S100" s="396"/>
      <c r="T100" s="396"/>
      <c r="U100" s="396"/>
      <c r="V100" s="396"/>
    </row>
    <row r="101" spans="1:22" ht="15">
      <c r="A101" s="402" t="s">
        <v>211</v>
      </c>
      <c r="B101" s="402"/>
      <c r="C101" s="402"/>
      <c r="D101" s="402"/>
      <c r="E101" s="402"/>
      <c r="F101" s="423" t="s">
        <v>31</v>
      </c>
      <c r="G101" s="423"/>
      <c r="H101" s="423"/>
      <c r="I101" s="423"/>
      <c r="J101" s="423"/>
      <c r="K101" s="423"/>
      <c r="L101" s="423"/>
      <c r="M101" s="423"/>
      <c r="N101" s="423"/>
      <c r="O101" s="423"/>
      <c r="P101" s="423"/>
      <c r="Q101" s="423"/>
      <c r="R101" s="402" t="s">
        <v>142</v>
      </c>
      <c r="S101" s="402"/>
      <c r="T101" s="402"/>
      <c r="U101" s="402"/>
      <c r="V101" s="402"/>
    </row>
    <row r="102" spans="1:22" ht="15">
      <c r="A102" s="402"/>
      <c r="B102" s="402"/>
      <c r="C102" s="402"/>
      <c r="D102" s="402"/>
      <c r="E102" s="402"/>
      <c r="F102" s="423" t="s">
        <v>32</v>
      </c>
      <c r="G102" s="423"/>
      <c r="H102" s="423"/>
      <c r="I102" s="423"/>
      <c r="J102" s="423"/>
      <c r="K102" s="423"/>
      <c r="L102" s="423"/>
      <c r="M102" s="423"/>
      <c r="N102" s="423"/>
      <c r="O102" s="423"/>
      <c r="P102" s="423"/>
      <c r="Q102" s="423"/>
      <c r="R102" s="402"/>
      <c r="S102" s="402"/>
      <c r="T102" s="402"/>
      <c r="U102" s="402"/>
      <c r="V102" s="402"/>
    </row>
    <row r="104" spans="1:22">
      <c r="B104" s="421" t="s">
        <v>60</v>
      </c>
      <c r="C104" s="421"/>
      <c r="D104" s="421"/>
      <c r="E104" s="421"/>
      <c r="F104" s="421" t="s">
        <v>83</v>
      </c>
      <c r="G104" s="421"/>
      <c r="H104" s="421"/>
      <c r="I104" s="421"/>
      <c r="J104" s="421" t="s">
        <v>84</v>
      </c>
      <c r="K104" s="421"/>
      <c r="L104" s="421"/>
      <c r="M104" s="421"/>
      <c r="N104" s="421" t="s">
        <v>85</v>
      </c>
      <c r="O104" s="421"/>
      <c r="P104" s="421"/>
      <c r="Q104" s="421"/>
      <c r="R104" s="421" t="s">
        <v>86</v>
      </c>
      <c r="S104" s="421"/>
      <c r="T104" s="421"/>
      <c r="U104" s="421"/>
    </row>
    <row r="105" spans="1:22">
      <c r="B105" s="421"/>
      <c r="C105" s="421"/>
      <c r="D105" s="421"/>
      <c r="E105" s="421"/>
      <c r="F105" s="421"/>
      <c r="G105" s="421"/>
      <c r="H105" s="421"/>
      <c r="I105" s="421"/>
      <c r="J105" s="421"/>
      <c r="K105" s="421"/>
      <c r="L105" s="421"/>
      <c r="M105" s="421"/>
      <c r="N105" s="421"/>
      <c r="O105" s="421"/>
      <c r="P105" s="421"/>
      <c r="Q105" s="421"/>
      <c r="R105" s="421"/>
      <c r="S105" s="421"/>
      <c r="T105" s="421"/>
      <c r="U105" s="421"/>
    </row>
    <row r="106" spans="1:22">
      <c r="B106" s="209">
        <v>1</v>
      </c>
      <c r="C106" s="209"/>
      <c r="D106" s="209"/>
      <c r="E106" s="209"/>
      <c r="F106" s="209">
        <v>1500</v>
      </c>
      <c r="G106" s="209"/>
      <c r="H106" s="209"/>
      <c r="I106" s="209"/>
      <c r="J106" s="209">
        <v>4.5</v>
      </c>
      <c r="K106" s="209"/>
      <c r="L106" s="209"/>
      <c r="M106" s="209"/>
      <c r="N106" s="209">
        <v>3.5</v>
      </c>
      <c r="O106" s="209"/>
      <c r="P106" s="209"/>
      <c r="Q106" s="209"/>
      <c r="R106" s="209">
        <f>F106*((J106/N106)^0.5)</f>
        <v>1700.8401285415225</v>
      </c>
      <c r="S106" s="209"/>
      <c r="T106" s="209"/>
      <c r="U106" s="209"/>
    </row>
    <row r="107" spans="1:22">
      <c r="B107" s="209"/>
      <c r="C107" s="209"/>
      <c r="D107" s="209"/>
      <c r="E107" s="209"/>
      <c r="F107" s="209"/>
      <c r="G107" s="209"/>
      <c r="H107" s="209"/>
      <c r="I107" s="209"/>
      <c r="J107" s="209"/>
      <c r="K107" s="209"/>
      <c r="L107" s="209"/>
      <c r="M107" s="209"/>
      <c r="N107" s="209"/>
      <c r="O107" s="209"/>
      <c r="P107" s="209"/>
      <c r="Q107" s="209"/>
      <c r="R107" s="209"/>
      <c r="S107" s="209"/>
      <c r="T107" s="209"/>
      <c r="U107" s="209"/>
    </row>
    <row r="108" spans="1:22">
      <c r="B108" s="209">
        <v>2</v>
      </c>
      <c r="C108" s="209"/>
      <c r="D108" s="209"/>
      <c r="E108" s="209"/>
      <c r="F108" s="209">
        <v>1500</v>
      </c>
      <c r="G108" s="209"/>
      <c r="H108" s="209"/>
      <c r="I108" s="209"/>
      <c r="J108" s="209">
        <v>3.5</v>
      </c>
      <c r="K108" s="209"/>
      <c r="L108" s="209"/>
      <c r="M108" s="209"/>
      <c r="N108" s="209">
        <v>3.5</v>
      </c>
      <c r="O108" s="209"/>
      <c r="P108" s="209"/>
      <c r="Q108" s="209"/>
      <c r="R108" s="209">
        <f>F108*((J108/N108)^0.5)</f>
        <v>1500</v>
      </c>
      <c r="S108" s="209"/>
      <c r="T108" s="209"/>
      <c r="U108" s="209"/>
    </row>
    <row r="109" spans="1:22">
      <c r="B109" s="209"/>
      <c r="C109" s="209"/>
      <c r="D109" s="209"/>
      <c r="E109" s="209"/>
      <c r="F109" s="209"/>
      <c r="G109" s="209"/>
      <c r="H109" s="209"/>
      <c r="I109" s="209"/>
      <c r="J109" s="209"/>
      <c r="K109" s="209"/>
      <c r="L109" s="209"/>
      <c r="M109" s="209"/>
      <c r="N109" s="209"/>
      <c r="O109" s="209"/>
      <c r="P109" s="209"/>
      <c r="Q109" s="209"/>
      <c r="R109" s="209"/>
      <c r="S109" s="209"/>
      <c r="T109" s="209"/>
      <c r="U109" s="209"/>
    </row>
    <row r="110" spans="1:22">
      <c r="B110" s="209">
        <v>3</v>
      </c>
      <c r="C110" s="209"/>
      <c r="D110" s="209"/>
      <c r="E110" s="209"/>
      <c r="F110" s="209">
        <v>1500</v>
      </c>
      <c r="G110" s="209"/>
      <c r="H110" s="209"/>
      <c r="I110" s="209"/>
      <c r="J110" s="209">
        <v>3.5</v>
      </c>
      <c r="K110" s="209"/>
      <c r="L110" s="209"/>
      <c r="M110" s="209"/>
      <c r="N110" s="209">
        <v>3.5</v>
      </c>
      <c r="O110" s="209"/>
      <c r="P110" s="209"/>
      <c r="Q110" s="209"/>
      <c r="R110" s="209">
        <f t="shared" ref="R110" si="0">F110*((J110/N110)^0.5)</f>
        <v>1500</v>
      </c>
      <c r="S110" s="209"/>
      <c r="T110" s="209"/>
      <c r="U110" s="209"/>
    </row>
    <row r="111" spans="1:22">
      <c r="B111" s="209"/>
      <c r="C111" s="209"/>
      <c r="D111" s="209"/>
      <c r="E111" s="209"/>
      <c r="F111" s="209"/>
      <c r="G111" s="209"/>
      <c r="H111" s="209"/>
      <c r="I111" s="209"/>
      <c r="J111" s="209"/>
      <c r="K111" s="209"/>
      <c r="L111" s="209"/>
      <c r="M111" s="209"/>
      <c r="N111" s="209"/>
      <c r="O111" s="209"/>
      <c r="P111" s="209"/>
      <c r="Q111" s="209"/>
      <c r="R111" s="209"/>
      <c r="S111" s="209"/>
      <c r="T111" s="209"/>
      <c r="U111" s="209"/>
    </row>
    <row r="112" spans="1:22">
      <c r="B112" s="209">
        <v>4</v>
      </c>
      <c r="C112" s="209"/>
      <c r="D112" s="209"/>
      <c r="E112" s="209"/>
      <c r="F112" s="209">
        <v>1500</v>
      </c>
      <c r="G112" s="209"/>
      <c r="H112" s="209"/>
      <c r="I112" s="209"/>
      <c r="J112" s="209">
        <v>3.5</v>
      </c>
      <c r="K112" s="209"/>
      <c r="L112" s="209"/>
      <c r="M112" s="209"/>
      <c r="N112" s="209">
        <v>3.5</v>
      </c>
      <c r="O112" s="209"/>
      <c r="P112" s="209"/>
      <c r="Q112" s="209"/>
      <c r="R112" s="209">
        <f t="shared" ref="R112" si="1">F112*((J112/N112)^0.5)</f>
        <v>1500</v>
      </c>
      <c r="S112" s="209"/>
      <c r="T112" s="209"/>
      <c r="U112" s="209"/>
    </row>
    <row r="113" spans="2:21">
      <c r="B113" s="209"/>
      <c r="C113" s="209"/>
      <c r="D113" s="209"/>
      <c r="E113" s="209"/>
      <c r="F113" s="209"/>
      <c r="G113" s="209"/>
      <c r="H113" s="209"/>
      <c r="I113" s="209"/>
      <c r="J113" s="209"/>
      <c r="K113" s="209"/>
      <c r="L113" s="209"/>
      <c r="M113" s="209"/>
      <c r="N113" s="209"/>
      <c r="O113" s="209"/>
      <c r="P113" s="209"/>
      <c r="Q113" s="209"/>
      <c r="R113" s="209"/>
      <c r="S113" s="209"/>
      <c r="T113" s="209"/>
      <c r="U113" s="209"/>
    </row>
    <row r="114" spans="2:21">
      <c r="B114" s="209">
        <v>5</v>
      </c>
      <c r="C114" s="209"/>
      <c r="D114" s="209"/>
      <c r="E114" s="209"/>
      <c r="F114" s="209">
        <v>1500</v>
      </c>
      <c r="G114" s="209"/>
      <c r="H114" s="209"/>
      <c r="I114" s="209"/>
      <c r="J114" s="209">
        <v>3.5</v>
      </c>
      <c r="K114" s="209"/>
      <c r="L114" s="209"/>
      <c r="M114" s="209"/>
      <c r="N114" s="209">
        <v>3.5</v>
      </c>
      <c r="O114" s="209"/>
      <c r="P114" s="209"/>
      <c r="Q114" s="209"/>
      <c r="R114" s="209">
        <f t="shared" ref="R114" si="2">F114*((J114/N114)^0.5)</f>
        <v>1500</v>
      </c>
      <c r="S114" s="209"/>
      <c r="T114" s="209"/>
      <c r="U114" s="209"/>
    </row>
    <row r="115" spans="2:21">
      <c r="B115" s="209"/>
      <c r="C115" s="209"/>
      <c r="D115" s="209"/>
      <c r="E115" s="209"/>
      <c r="F115" s="209"/>
      <c r="G115" s="209"/>
      <c r="H115" s="209"/>
      <c r="I115" s="209"/>
      <c r="J115" s="209"/>
      <c r="K115" s="209"/>
      <c r="L115" s="209"/>
      <c r="M115" s="209"/>
      <c r="N115" s="209"/>
      <c r="O115" s="209"/>
      <c r="P115" s="209"/>
      <c r="Q115" s="209"/>
      <c r="R115" s="209"/>
      <c r="S115" s="209"/>
      <c r="T115" s="209"/>
      <c r="U115" s="209"/>
    </row>
    <row r="116" spans="2:21">
      <c r="B116" s="209" t="s">
        <v>87</v>
      </c>
      <c r="C116" s="209"/>
      <c r="D116" s="209"/>
      <c r="E116" s="209"/>
      <c r="F116" s="209"/>
      <c r="G116" s="209"/>
      <c r="H116" s="209"/>
      <c r="I116" s="209"/>
      <c r="J116" s="209"/>
      <c r="K116" s="209"/>
      <c r="L116" s="209"/>
      <c r="M116" s="209"/>
      <c r="N116" s="209"/>
      <c r="O116" s="209"/>
      <c r="P116" s="209"/>
      <c r="Q116" s="209"/>
      <c r="R116" s="209">
        <f>SUM(R106:U115)</f>
        <v>7700.8401285415221</v>
      </c>
      <c r="S116" s="209"/>
      <c r="T116" s="209"/>
      <c r="U116" s="209"/>
    </row>
    <row r="117" spans="2:21">
      <c r="B117" s="209"/>
      <c r="C117" s="209"/>
      <c r="D117" s="209"/>
      <c r="E117" s="209"/>
      <c r="F117" s="209"/>
      <c r="G117" s="209"/>
      <c r="H117" s="209"/>
      <c r="I117" s="209"/>
      <c r="J117" s="209"/>
      <c r="K117" s="209"/>
      <c r="L117" s="209"/>
      <c r="M117" s="209"/>
      <c r="N117" s="209"/>
      <c r="O117" s="209"/>
      <c r="P117" s="209"/>
      <c r="Q117" s="209"/>
      <c r="R117" s="209"/>
      <c r="S117" s="209"/>
      <c r="T117" s="209"/>
      <c r="U117" s="209"/>
    </row>
    <row r="119" spans="2:21">
      <c r="B119" s="420" t="s">
        <v>88</v>
      </c>
      <c r="C119" s="420"/>
      <c r="D119" s="420"/>
      <c r="E119" s="420"/>
      <c r="F119" s="420"/>
      <c r="G119" s="420"/>
      <c r="H119" s="420"/>
      <c r="I119" s="420"/>
      <c r="J119" s="420"/>
      <c r="K119" s="420"/>
      <c r="L119" s="420"/>
      <c r="M119" s="420"/>
      <c r="N119" s="420"/>
      <c r="O119" s="420"/>
      <c r="P119" s="420"/>
      <c r="Q119" s="420"/>
      <c r="R119" s="420"/>
      <c r="S119" s="420"/>
      <c r="T119" s="420"/>
      <c r="U119" s="420"/>
    </row>
    <row r="120" spans="2:21">
      <c r="B120" s="420"/>
      <c r="C120" s="420"/>
      <c r="D120" s="420"/>
      <c r="E120" s="420"/>
      <c r="F120" s="420"/>
      <c r="G120" s="420"/>
      <c r="H120" s="420"/>
      <c r="I120" s="420"/>
      <c r="J120" s="420"/>
      <c r="K120" s="420"/>
      <c r="L120" s="420"/>
      <c r="M120" s="420"/>
      <c r="N120" s="420"/>
      <c r="O120" s="420"/>
      <c r="P120" s="420"/>
      <c r="Q120" s="420"/>
      <c r="R120" s="420"/>
      <c r="S120" s="420"/>
      <c r="T120" s="420"/>
      <c r="U120" s="420"/>
    </row>
  </sheetData>
  <mergeCells count="80">
    <mergeCell ref="A56:E56"/>
    <mergeCell ref="F56:Q56"/>
    <mergeCell ref="R56:V56"/>
    <mergeCell ref="B12:T13"/>
    <mergeCell ref="B14:U21"/>
    <mergeCell ref="B22:U28"/>
    <mergeCell ref="B29:U47"/>
    <mergeCell ref="A55:E55"/>
    <mergeCell ref="F55:N55"/>
    <mergeCell ref="O55:P55"/>
    <mergeCell ref="R55:V55"/>
    <mergeCell ref="A49:E51"/>
    <mergeCell ref="F49:Q53"/>
    <mergeCell ref="R49:V54"/>
    <mergeCell ref="A52:E54"/>
    <mergeCell ref="F54:Q54"/>
    <mergeCell ref="F1:Q5"/>
    <mergeCell ref="F6:Q6"/>
    <mergeCell ref="A1:E3"/>
    <mergeCell ref="R1:V6"/>
    <mergeCell ref="A4:E6"/>
    <mergeCell ref="A7:E7"/>
    <mergeCell ref="F7:N7"/>
    <mergeCell ref="O7:P7"/>
    <mergeCell ref="R7:V7"/>
    <mergeCell ref="B10:G11"/>
    <mergeCell ref="A8:E8"/>
    <mergeCell ref="F8:Q8"/>
    <mergeCell ref="R8:V8"/>
    <mergeCell ref="B83:U84"/>
    <mergeCell ref="B57:H58"/>
    <mergeCell ref="B59:U67"/>
    <mergeCell ref="B68:U69"/>
    <mergeCell ref="G70:O79"/>
    <mergeCell ref="B80:U82"/>
    <mergeCell ref="B85:I86"/>
    <mergeCell ref="J85:P88"/>
    <mergeCell ref="B87:I90"/>
    <mergeCell ref="J91:Q94"/>
    <mergeCell ref="B91:I94"/>
    <mergeCell ref="A96:E100"/>
    <mergeCell ref="F96:Q100"/>
    <mergeCell ref="R96:V100"/>
    <mergeCell ref="A101:E102"/>
    <mergeCell ref="F101:Q101"/>
    <mergeCell ref="R101:V102"/>
    <mergeCell ref="F102:Q102"/>
    <mergeCell ref="B106:E107"/>
    <mergeCell ref="F106:I107"/>
    <mergeCell ref="J106:M107"/>
    <mergeCell ref="N106:Q107"/>
    <mergeCell ref="R106:U107"/>
    <mergeCell ref="B104:E105"/>
    <mergeCell ref="F104:I105"/>
    <mergeCell ref="J104:M105"/>
    <mergeCell ref="N104:Q105"/>
    <mergeCell ref="R104:U105"/>
    <mergeCell ref="B110:E111"/>
    <mergeCell ref="F110:I111"/>
    <mergeCell ref="J110:M111"/>
    <mergeCell ref="N110:Q111"/>
    <mergeCell ref="R110:U111"/>
    <mergeCell ref="B108:E109"/>
    <mergeCell ref="F108:I109"/>
    <mergeCell ref="J108:M109"/>
    <mergeCell ref="N108:Q109"/>
    <mergeCell ref="R108:U109"/>
    <mergeCell ref="B119:U120"/>
    <mergeCell ref="R116:U117"/>
    <mergeCell ref="B116:Q117"/>
    <mergeCell ref="B112:E113"/>
    <mergeCell ref="F112:I113"/>
    <mergeCell ref="J112:M113"/>
    <mergeCell ref="N112:Q113"/>
    <mergeCell ref="R112:U113"/>
    <mergeCell ref="B114:E115"/>
    <mergeCell ref="F114:I115"/>
    <mergeCell ref="J114:M115"/>
    <mergeCell ref="N114:Q115"/>
    <mergeCell ref="R114:U115"/>
  </mergeCells>
  <pageMargins left="0.25" right="0.25" top="0.75" bottom="0.75" header="0.3" footer="0.3"/>
  <pageSetup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AE190"/>
  <sheetViews>
    <sheetView view="pageBreakPreview" topLeftCell="A19" zoomScale="110" zoomScaleNormal="110" zoomScaleSheetLayoutView="110" workbookViewId="0">
      <selection activeCell="L133" sqref="L132:L133"/>
    </sheetView>
  </sheetViews>
  <sheetFormatPr defaultRowHeight="14.25"/>
  <cols>
    <col min="1" max="1" width="7" customWidth="1"/>
    <col min="2" max="4" width="5.75" customWidth="1"/>
    <col min="5" max="5" width="6.25" customWidth="1"/>
    <col min="6" max="10" width="5.75" customWidth="1"/>
    <col min="11" max="11" width="8.125" customWidth="1"/>
    <col min="12" max="16" width="5.75" customWidth="1"/>
    <col min="17" max="17" width="6.75" customWidth="1"/>
    <col min="18" max="18" width="8.375" customWidth="1"/>
    <col min="19"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5.15"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20.4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'Roof design'!R7:R8</f>
        <v>29</v>
      </c>
      <c r="S7" s="174" t="s">
        <v>752</v>
      </c>
      <c r="T7" s="263">
        <f>'Roof design'!T7:T8+1</f>
        <v>11</v>
      </c>
      <c r="U7" s="168" t="s">
        <v>753</v>
      </c>
      <c r="V7" s="188"/>
    </row>
    <row r="8" spans="1:22" ht="26.45"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'Roof design'!Q8</f>
        <v>V01</v>
      </c>
      <c r="R8" s="173"/>
      <c r="S8" s="175"/>
      <c r="T8" s="264"/>
      <c r="U8" s="189"/>
      <c r="V8" s="190"/>
    </row>
    <row r="10" spans="1:22" ht="15">
      <c r="B10" s="459" t="s">
        <v>74</v>
      </c>
      <c r="C10" s="459"/>
      <c r="D10" s="459"/>
      <c r="E10" s="459"/>
      <c r="F10" s="459"/>
      <c r="G10" s="459"/>
      <c r="H10" s="30"/>
      <c r="I10" s="30"/>
      <c r="J10" s="30"/>
      <c r="K10" s="30"/>
      <c r="L10" s="30"/>
      <c r="M10" s="30"/>
      <c r="N10" s="30"/>
      <c r="O10" s="30"/>
      <c r="P10" s="30"/>
      <c r="Q10" s="30"/>
      <c r="R10" s="30"/>
      <c r="S10" s="30"/>
      <c r="T10" s="30"/>
    </row>
    <row r="11" spans="1:22" ht="15">
      <c r="B11" s="459"/>
      <c r="C11" s="459"/>
      <c r="D11" s="459"/>
      <c r="E11" s="459"/>
      <c r="F11" s="459"/>
      <c r="G11" s="459"/>
      <c r="H11" s="30"/>
      <c r="I11" s="30"/>
      <c r="J11" s="30"/>
      <c r="K11" s="30"/>
      <c r="L11" s="30"/>
      <c r="M11" s="30"/>
      <c r="N11" s="30"/>
      <c r="O11" s="30"/>
      <c r="P11" s="30"/>
      <c r="Q11" s="30"/>
      <c r="R11" s="30"/>
      <c r="S11" s="30"/>
      <c r="T11" s="30"/>
    </row>
    <row r="12" spans="1:22">
      <c r="B12" s="379" t="s">
        <v>795</v>
      </c>
      <c r="C12" s="379"/>
      <c r="D12" s="379"/>
      <c r="E12" s="379"/>
      <c r="F12" s="379"/>
      <c r="G12" s="379"/>
      <c r="H12" s="379"/>
      <c r="I12" s="379"/>
      <c r="J12" s="379"/>
      <c r="K12" s="379"/>
      <c r="L12" s="379"/>
      <c r="M12" s="379"/>
      <c r="N12" s="379"/>
      <c r="O12" s="379"/>
      <c r="P12" s="379"/>
      <c r="Q12" s="379"/>
      <c r="R12" s="379"/>
      <c r="S12" s="379"/>
      <c r="T12" s="379"/>
    </row>
    <row r="13" spans="1:22">
      <c r="B13" s="379"/>
      <c r="C13" s="379"/>
      <c r="D13" s="379"/>
      <c r="E13" s="379"/>
      <c r="F13" s="379"/>
      <c r="G13" s="379"/>
      <c r="H13" s="379"/>
      <c r="I13" s="379"/>
      <c r="J13" s="379"/>
      <c r="K13" s="379"/>
      <c r="L13" s="379"/>
      <c r="M13" s="379"/>
      <c r="N13" s="379"/>
      <c r="O13" s="379"/>
      <c r="P13" s="379"/>
      <c r="Q13" s="379"/>
      <c r="R13" s="379"/>
      <c r="S13" s="379"/>
      <c r="T13" s="379"/>
    </row>
    <row r="14" spans="1:22">
      <c r="B14" s="353"/>
      <c r="C14" s="353"/>
      <c r="D14" s="353"/>
      <c r="E14" s="353"/>
      <c r="F14" s="353"/>
      <c r="G14" s="353"/>
      <c r="H14" s="353"/>
      <c r="I14" s="353"/>
      <c r="J14" s="353"/>
      <c r="K14" s="353"/>
      <c r="L14" s="353"/>
      <c r="M14" s="353"/>
      <c r="N14" s="353"/>
      <c r="O14" s="353"/>
      <c r="P14" s="353"/>
      <c r="Q14" s="353"/>
      <c r="R14" s="353"/>
      <c r="S14" s="353"/>
      <c r="T14" s="353"/>
      <c r="U14" s="353"/>
    </row>
    <row r="15" spans="1:22">
      <c r="B15" s="353"/>
      <c r="C15" s="353"/>
      <c r="D15" s="353"/>
      <c r="E15" s="353"/>
      <c r="F15" s="353"/>
      <c r="G15" s="353"/>
      <c r="H15" s="353"/>
      <c r="I15" s="353"/>
      <c r="J15" s="353"/>
      <c r="K15" s="353"/>
      <c r="L15" s="353"/>
      <c r="M15" s="353"/>
      <c r="N15" s="353"/>
      <c r="O15" s="353"/>
      <c r="P15" s="353"/>
      <c r="Q15" s="353"/>
      <c r="R15" s="353"/>
      <c r="S15" s="353"/>
      <c r="T15" s="353"/>
      <c r="U15" s="353"/>
    </row>
    <row r="16" spans="1:22" ht="409.5">
      <c r="A16" s="157" t="s">
        <v>901</v>
      </c>
      <c r="B16" s="353"/>
      <c r="C16" s="353"/>
      <c r="D16" s="353"/>
      <c r="E16" s="353"/>
      <c r="F16" s="353"/>
      <c r="G16" s="353"/>
      <c r="H16" s="353"/>
      <c r="I16" s="353"/>
      <c r="J16" s="353"/>
      <c r="K16" s="353"/>
      <c r="L16" s="353"/>
      <c r="M16" s="353"/>
      <c r="N16" s="353"/>
      <c r="O16" s="353"/>
      <c r="P16" s="353"/>
      <c r="Q16" s="353"/>
      <c r="R16" s="353"/>
      <c r="S16" s="353"/>
      <c r="T16" s="353"/>
      <c r="U16" s="353"/>
    </row>
    <row r="17" spans="2:31">
      <c r="B17" s="353"/>
      <c r="C17" s="353"/>
      <c r="D17" s="353"/>
      <c r="E17" s="353"/>
      <c r="F17" s="353"/>
      <c r="G17" s="353"/>
      <c r="H17" s="353"/>
      <c r="I17" s="353"/>
      <c r="J17" s="353"/>
      <c r="K17" s="353"/>
      <c r="L17" s="353"/>
      <c r="M17" s="353"/>
      <c r="N17" s="353"/>
      <c r="O17" s="353"/>
      <c r="P17" s="353"/>
      <c r="Q17" s="353"/>
      <c r="R17" s="353"/>
      <c r="S17" s="353"/>
      <c r="T17" s="353"/>
      <c r="U17" s="353"/>
    </row>
    <row r="18" spans="2:31">
      <c r="B18" s="353"/>
      <c r="C18" s="353"/>
      <c r="D18" s="353"/>
      <c r="E18" s="353"/>
      <c r="F18" s="353"/>
      <c r="G18" s="353"/>
      <c r="H18" s="353"/>
      <c r="I18" s="353"/>
      <c r="J18" s="353"/>
      <c r="K18" s="353"/>
      <c r="L18" s="353"/>
      <c r="M18" s="353"/>
      <c r="N18" s="353"/>
      <c r="O18" s="353"/>
      <c r="P18" s="353"/>
      <c r="Q18" s="353"/>
      <c r="R18" s="353"/>
      <c r="S18" s="353"/>
      <c r="T18" s="353"/>
      <c r="U18" s="353"/>
    </row>
    <row r="19" spans="2:31">
      <c r="B19" s="353"/>
      <c r="C19" s="353"/>
      <c r="D19" s="353"/>
      <c r="E19" s="353"/>
      <c r="F19" s="353"/>
      <c r="G19" s="353"/>
      <c r="H19" s="353"/>
      <c r="I19" s="353"/>
      <c r="J19" s="353"/>
      <c r="K19" s="353"/>
      <c r="L19" s="353"/>
      <c r="M19" s="353"/>
      <c r="N19" s="353"/>
      <c r="O19" s="353"/>
      <c r="P19" s="353"/>
      <c r="Q19" s="353"/>
      <c r="R19" s="353"/>
      <c r="S19" s="353"/>
      <c r="T19" s="353"/>
      <c r="U19" s="353"/>
    </row>
    <row r="20" spans="2:31">
      <c r="B20" s="353"/>
      <c r="C20" s="353"/>
      <c r="D20" s="353"/>
      <c r="E20" s="353"/>
      <c r="F20" s="353"/>
      <c r="G20" s="353"/>
      <c r="H20" s="353"/>
      <c r="I20" s="353"/>
      <c r="J20" s="353"/>
      <c r="K20" s="353"/>
      <c r="L20" s="353"/>
      <c r="M20" s="353"/>
      <c r="N20" s="353"/>
      <c r="O20" s="353"/>
      <c r="P20" s="353"/>
      <c r="Q20" s="353"/>
      <c r="R20" s="353"/>
      <c r="S20" s="353"/>
      <c r="T20" s="353"/>
      <c r="U20" s="353"/>
    </row>
    <row r="21" spans="2:31">
      <c r="B21" s="353"/>
      <c r="C21" s="353"/>
      <c r="D21" s="353"/>
      <c r="E21" s="353"/>
      <c r="F21" s="353"/>
      <c r="G21" s="353"/>
      <c r="H21" s="353"/>
      <c r="I21" s="353"/>
      <c r="J21" s="353"/>
      <c r="K21" s="353"/>
      <c r="L21" s="353"/>
      <c r="M21" s="353"/>
      <c r="N21" s="353"/>
      <c r="O21" s="353"/>
      <c r="P21" s="353"/>
      <c r="Q21" s="353"/>
      <c r="R21" s="353"/>
      <c r="S21" s="353"/>
      <c r="T21" s="353"/>
      <c r="U21" s="353"/>
    </row>
    <row r="22" spans="2:31" ht="15" customHeight="1">
      <c r="B22" s="456" t="s">
        <v>688</v>
      </c>
      <c r="C22" s="456"/>
      <c r="D22" s="456"/>
      <c r="E22" s="456"/>
      <c r="F22" s="456"/>
      <c r="G22" s="456"/>
      <c r="H22" s="449" t="s">
        <v>796</v>
      </c>
      <c r="I22" s="449"/>
      <c r="J22" s="449"/>
      <c r="K22" s="50"/>
      <c r="L22" s="50"/>
      <c r="M22" s="50"/>
      <c r="N22" s="50"/>
      <c r="O22" s="50"/>
      <c r="P22" s="50"/>
      <c r="Q22" s="50"/>
      <c r="R22" s="50"/>
      <c r="S22" s="50"/>
      <c r="T22" s="50"/>
      <c r="U22" s="50"/>
      <c r="AB22" s="455"/>
      <c r="AC22" s="455"/>
      <c r="AD22" s="455"/>
      <c r="AE22" s="455"/>
    </row>
    <row r="23" spans="2:31" ht="15">
      <c r="B23" s="457" t="s">
        <v>689</v>
      </c>
      <c r="C23" s="457"/>
      <c r="D23" s="457"/>
      <c r="E23" s="457"/>
      <c r="F23" s="457"/>
      <c r="G23" s="457"/>
      <c r="H23" s="449">
        <v>9.6300000000000008</v>
      </c>
      <c r="I23" s="449"/>
      <c r="J23" s="31" t="s">
        <v>693</v>
      </c>
      <c r="K23" s="50"/>
      <c r="L23" s="50"/>
      <c r="M23" s="50"/>
      <c r="N23" s="50"/>
      <c r="O23" s="50"/>
      <c r="P23" s="50"/>
      <c r="Q23" s="50"/>
      <c r="R23" s="50"/>
      <c r="S23" s="50"/>
      <c r="T23" s="50"/>
      <c r="U23" s="50"/>
      <c r="AB23" s="455"/>
      <c r="AC23" s="455"/>
      <c r="AD23" s="455"/>
      <c r="AE23" s="455"/>
    </row>
    <row r="24" spans="2:31" ht="15">
      <c r="B24" s="457" t="s">
        <v>690</v>
      </c>
      <c r="C24" s="457"/>
      <c r="D24" s="457"/>
      <c r="E24" s="457"/>
      <c r="F24" s="457"/>
      <c r="G24" s="457"/>
      <c r="H24" s="458">
        <f>PI()*(COVER!H153/1000)</f>
        <v>40.840704496667314</v>
      </c>
      <c r="I24" s="458"/>
      <c r="J24" s="31" t="s">
        <v>258</v>
      </c>
      <c r="K24" s="50"/>
      <c r="L24" s="50"/>
      <c r="M24" s="50"/>
      <c r="N24" s="50"/>
      <c r="O24" s="50"/>
      <c r="P24" s="50"/>
      <c r="Q24" s="50"/>
      <c r="R24" s="50"/>
      <c r="S24" s="50"/>
      <c r="T24" s="50"/>
      <c r="U24" s="50"/>
      <c r="AB24" s="455"/>
      <c r="AC24" s="455"/>
      <c r="AD24" s="455"/>
      <c r="AE24" s="455"/>
    </row>
    <row r="25" spans="2:31" ht="15">
      <c r="B25" s="379" t="s">
        <v>691</v>
      </c>
      <c r="C25" s="379"/>
      <c r="D25" s="379"/>
      <c r="E25" s="379"/>
      <c r="F25" s="379"/>
      <c r="G25" s="379"/>
      <c r="H25" s="458">
        <f>H24*H23</f>
        <v>393.29598430290628</v>
      </c>
      <c r="I25" s="458"/>
      <c r="J25" s="31" t="s">
        <v>153</v>
      </c>
      <c r="K25" s="50"/>
      <c r="L25" s="50"/>
      <c r="M25" s="50"/>
      <c r="N25" s="50"/>
      <c r="O25" s="50"/>
      <c r="P25" s="50"/>
      <c r="Q25" s="50"/>
      <c r="R25" s="50"/>
      <c r="S25" s="50"/>
      <c r="T25" s="50"/>
      <c r="U25" s="50"/>
      <c r="AB25" s="455"/>
      <c r="AC25" s="455"/>
      <c r="AD25" s="455"/>
      <c r="AE25" s="455"/>
    </row>
    <row r="26" spans="2:31" ht="18">
      <c r="B26" s="379" t="s">
        <v>692</v>
      </c>
      <c r="C26" s="379"/>
      <c r="D26" s="379"/>
      <c r="E26" s="379"/>
      <c r="F26" s="379"/>
      <c r="G26" s="379"/>
      <c r="H26" s="449">
        <v>1230</v>
      </c>
      <c r="I26" s="449"/>
      <c r="J26" s="31" t="s">
        <v>694</v>
      </c>
      <c r="K26" s="50"/>
      <c r="L26" s="50"/>
      <c r="M26" s="50"/>
      <c r="N26" s="50"/>
      <c r="O26" s="50"/>
      <c r="P26" s="50"/>
      <c r="Q26" s="50"/>
      <c r="R26" s="50"/>
      <c r="S26" s="50"/>
      <c r="T26" s="50"/>
      <c r="U26" s="50"/>
      <c r="AB26" s="455"/>
      <c r="AC26" s="455"/>
      <c r="AD26" s="455"/>
      <c r="AE26" s="455"/>
    </row>
    <row r="27" spans="2:31" ht="15" customHeight="1">
      <c r="B27" s="387"/>
      <c r="C27" s="387"/>
      <c r="D27" s="449"/>
      <c r="E27" s="449"/>
      <c r="F27" s="449"/>
      <c r="G27" s="449"/>
      <c r="H27" s="95"/>
      <c r="I27" s="387"/>
      <c r="J27" s="387"/>
      <c r="K27" s="387"/>
      <c r="L27" s="387"/>
      <c r="M27" s="387"/>
      <c r="N27" s="387"/>
      <c r="O27" s="387"/>
      <c r="P27" s="387"/>
      <c r="Q27" s="387"/>
      <c r="R27" s="387"/>
      <c r="S27" s="387"/>
      <c r="T27" s="95"/>
      <c r="U27" s="31"/>
      <c r="AB27" s="455"/>
      <c r="AC27" s="455"/>
      <c r="AD27" s="455"/>
      <c r="AE27" s="455"/>
    </row>
    <row r="28" spans="2:31" ht="15">
      <c r="B28" s="50"/>
      <c r="C28" s="50"/>
      <c r="D28" s="50"/>
      <c r="E28" s="50"/>
      <c r="F28" s="50"/>
      <c r="G28" s="50"/>
      <c r="H28" s="50"/>
      <c r="I28" s="50"/>
      <c r="J28" s="50"/>
      <c r="K28" s="50"/>
      <c r="L28" s="50"/>
      <c r="M28" s="50"/>
      <c r="N28" s="50"/>
      <c r="O28" s="50"/>
      <c r="P28" s="50"/>
      <c r="Q28" s="50"/>
      <c r="R28" s="50"/>
      <c r="S28" s="50"/>
      <c r="T28" s="50"/>
      <c r="U28" s="50"/>
      <c r="AB28" s="455"/>
      <c r="AC28" s="455"/>
      <c r="AD28" s="455"/>
      <c r="AE28" s="455"/>
    </row>
    <row r="29" spans="2:31">
      <c r="AB29" s="455"/>
      <c r="AC29" s="455"/>
      <c r="AD29" s="455"/>
      <c r="AE29" s="455"/>
    </row>
    <row r="30" spans="2:31">
      <c r="AB30" s="455"/>
      <c r="AC30" s="455"/>
      <c r="AD30" s="455"/>
      <c r="AE30" s="455"/>
    </row>
    <row r="35" spans="1:22">
      <c r="A35" t="s">
        <v>902</v>
      </c>
    </row>
    <row r="38" spans="1:22" ht="399">
      <c r="F38" s="155" t="s">
        <v>886</v>
      </c>
    </row>
    <row r="44" spans="1:22" ht="15" thickBot="1"/>
    <row r="45" spans="1:22" ht="14.45" customHeight="1">
      <c r="A45" s="229"/>
      <c r="B45" s="230"/>
      <c r="C45" s="230"/>
      <c r="D45" s="230"/>
      <c r="E45" s="231"/>
      <c r="F45" s="158" t="str">
        <f>F1</f>
        <v>نگهداشت و افزایش تولید میدان نفتی بینک
سطح الارض و ابنیه تحت الارض 
خرید مخازن ذخیره گاز ایستگاه تقویت فشار گاز بینک 
(قرارداد BK-HD-GCS-CO-0026_00 )</v>
      </c>
      <c r="G45" s="159"/>
      <c r="H45" s="159"/>
      <c r="I45" s="159"/>
      <c r="J45" s="159"/>
      <c r="K45" s="159"/>
      <c r="L45" s="159"/>
      <c r="M45" s="159"/>
      <c r="N45" s="159"/>
      <c r="O45" s="159"/>
      <c r="P45" s="159"/>
      <c r="Q45" s="160"/>
      <c r="R45" s="238"/>
      <c r="S45" s="238"/>
      <c r="T45" s="238"/>
      <c r="U45" s="238"/>
      <c r="V45" s="239"/>
    </row>
    <row r="46" spans="1:22" ht="15" customHeight="1">
      <c r="A46" s="232"/>
      <c r="B46" s="233"/>
      <c r="C46" s="233"/>
      <c r="D46" s="233"/>
      <c r="E46" s="234"/>
      <c r="F46" s="161"/>
      <c r="G46" s="162"/>
      <c r="H46" s="162"/>
      <c r="I46" s="162"/>
      <c r="J46" s="162"/>
      <c r="K46" s="162"/>
      <c r="L46" s="162"/>
      <c r="M46" s="162"/>
      <c r="N46" s="162"/>
      <c r="O46" s="162"/>
      <c r="P46" s="162"/>
      <c r="Q46" s="163"/>
      <c r="R46" s="177"/>
      <c r="S46" s="177"/>
      <c r="T46" s="177"/>
      <c r="U46" s="177"/>
      <c r="V46" s="240"/>
    </row>
    <row r="47" spans="1:22" ht="15" customHeight="1">
      <c r="A47" s="232"/>
      <c r="B47" s="233"/>
      <c r="C47" s="233"/>
      <c r="D47" s="233"/>
      <c r="E47" s="234"/>
      <c r="F47" s="161"/>
      <c r="G47" s="162"/>
      <c r="H47" s="162"/>
      <c r="I47" s="162"/>
      <c r="J47" s="162"/>
      <c r="K47" s="162"/>
      <c r="L47" s="162"/>
      <c r="M47" s="162"/>
      <c r="N47" s="162"/>
      <c r="O47" s="162"/>
      <c r="P47" s="162"/>
      <c r="Q47" s="163"/>
      <c r="R47" s="177"/>
      <c r="S47" s="177"/>
      <c r="T47" s="177"/>
      <c r="U47" s="177"/>
      <c r="V47" s="240"/>
    </row>
    <row r="48" spans="1:22" ht="15" customHeight="1">
      <c r="A48" s="232"/>
      <c r="B48" s="233"/>
      <c r="C48" s="233"/>
      <c r="D48" s="233"/>
      <c r="E48" s="234"/>
      <c r="F48" s="161"/>
      <c r="G48" s="162"/>
      <c r="H48" s="162"/>
      <c r="I48" s="162"/>
      <c r="J48" s="162"/>
      <c r="K48" s="162"/>
      <c r="L48" s="162"/>
      <c r="M48" s="162"/>
      <c r="N48" s="162"/>
      <c r="O48" s="162"/>
      <c r="P48" s="162"/>
      <c r="Q48" s="163"/>
      <c r="R48" s="177"/>
      <c r="S48" s="177"/>
      <c r="T48" s="177"/>
      <c r="U48" s="177"/>
      <c r="V48" s="240"/>
    </row>
    <row r="49" spans="1:22">
      <c r="A49" s="232"/>
      <c r="B49" s="233"/>
      <c r="C49" s="233"/>
      <c r="D49" s="233"/>
      <c r="E49" s="234"/>
      <c r="F49" s="164"/>
      <c r="G49" s="165"/>
      <c r="H49" s="165"/>
      <c r="I49" s="165"/>
      <c r="J49" s="165"/>
      <c r="K49" s="165"/>
      <c r="L49" s="165"/>
      <c r="M49" s="165"/>
      <c r="N49" s="165"/>
      <c r="O49" s="165"/>
      <c r="P49" s="165"/>
      <c r="Q49" s="166"/>
      <c r="R49" s="177"/>
      <c r="S49" s="177"/>
      <c r="T49" s="177"/>
      <c r="U49" s="177"/>
      <c r="V49" s="240"/>
    </row>
    <row r="50" spans="1:22" ht="25.15" customHeight="1">
      <c r="A50" s="235"/>
      <c r="B50" s="236"/>
      <c r="C50" s="236"/>
      <c r="D50" s="236"/>
      <c r="E50" s="237"/>
      <c r="F50" s="265" t="str">
        <f>F6</f>
        <v>Mechanical Calculation Book For Fire Water Tanks (TK-2301A/B)</v>
      </c>
      <c r="G50" s="266"/>
      <c r="H50" s="266"/>
      <c r="I50" s="266"/>
      <c r="J50" s="266"/>
      <c r="K50" s="266"/>
      <c r="L50" s="266"/>
      <c r="M50" s="266"/>
      <c r="N50" s="266"/>
      <c r="O50" s="266"/>
      <c r="P50" s="266"/>
      <c r="Q50" s="267"/>
      <c r="R50" s="177"/>
      <c r="S50" s="177"/>
      <c r="T50" s="177"/>
      <c r="U50" s="177"/>
      <c r="V50" s="240"/>
    </row>
    <row r="51" spans="1:22" ht="20.45" customHeight="1">
      <c r="A51" s="167" t="s">
        <v>743</v>
      </c>
      <c r="B51" s="168"/>
      <c r="C51" s="168"/>
      <c r="D51" s="168"/>
      <c r="E51" s="169"/>
      <c r="F51" s="125" t="s">
        <v>744</v>
      </c>
      <c r="G51" s="170" t="s">
        <v>745</v>
      </c>
      <c r="H51" s="171"/>
      <c r="I51" s="170" t="s">
        <v>746</v>
      </c>
      <c r="J51" s="171"/>
      <c r="K51" s="170" t="s">
        <v>747</v>
      </c>
      <c r="L51" s="171"/>
      <c r="M51" s="125" t="s">
        <v>748</v>
      </c>
      <c r="N51" s="170" t="s">
        <v>749</v>
      </c>
      <c r="O51" s="171"/>
      <c r="P51" s="125" t="s">
        <v>750</v>
      </c>
      <c r="Q51" s="126" t="s">
        <v>751</v>
      </c>
      <c r="R51" s="172">
        <f>R7</f>
        <v>29</v>
      </c>
      <c r="S51" s="174" t="s">
        <v>752</v>
      </c>
      <c r="T51" s="263">
        <f>T7+1</f>
        <v>12</v>
      </c>
      <c r="U51" s="168" t="s">
        <v>753</v>
      </c>
      <c r="V51" s="188"/>
    </row>
    <row r="52" spans="1:22" ht="21" customHeight="1" thickBot="1">
      <c r="A52" s="191" t="s">
        <v>754</v>
      </c>
      <c r="B52" s="175"/>
      <c r="C52" s="175"/>
      <c r="D52" s="175"/>
      <c r="E52" s="192"/>
      <c r="F52" s="132" t="s">
        <v>755</v>
      </c>
      <c r="G52" s="193" t="s">
        <v>756</v>
      </c>
      <c r="H52" s="193"/>
      <c r="I52" s="193" t="s">
        <v>878</v>
      </c>
      <c r="J52" s="193"/>
      <c r="K52" s="193">
        <v>120</v>
      </c>
      <c r="L52" s="193"/>
      <c r="M52" s="132" t="s">
        <v>757</v>
      </c>
      <c r="N52" s="193" t="s">
        <v>879</v>
      </c>
      <c r="O52" s="193"/>
      <c r="P52" s="142" t="s">
        <v>881</v>
      </c>
      <c r="Q52" s="133" t="str">
        <f>Q8</f>
        <v>V01</v>
      </c>
      <c r="R52" s="173"/>
      <c r="S52" s="175"/>
      <c r="T52" s="264"/>
      <c r="U52" s="189"/>
      <c r="V52" s="190"/>
    </row>
    <row r="53" spans="1:22" ht="15">
      <c r="A53" s="31"/>
      <c r="B53" s="31"/>
      <c r="C53" s="31"/>
      <c r="D53" s="31"/>
      <c r="E53" s="31"/>
      <c r="F53" s="52"/>
      <c r="G53" s="52"/>
      <c r="H53" s="52"/>
      <c r="I53" s="52"/>
      <c r="J53" s="52"/>
      <c r="K53" s="52"/>
      <c r="L53" s="52"/>
      <c r="M53" s="52"/>
      <c r="N53" s="52"/>
      <c r="O53" s="52"/>
      <c r="P53" s="52"/>
      <c r="Q53" s="52"/>
      <c r="R53" s="31"/>
      <c r="S53" s="31"/>
      <c r="T53" s="3"/>
      <c r="U53" s="59"/>
    </row>
    <row r="54" spans="1:22">
      <c r="B54" s="450" t="s">
        <v>79</v>
      </c>
      <c r="C54" s="450"/>
      <c r="D54" s="450"/>
      <c r="E54" s="450"/>
      <c r="F54" s="450"/>
      <c r="G54" s="450"/>
      <c r="H54" s="450"/>
      <c r="I54" s="450"/>
      <c r="J54" s="450"/>
      <c r="K54" s="450"/>
      <c r="L54" s="450"/>
      <c r="M54" s="450"/>
      <c r="N54" s="450"/>
      <c r="O54" s="450"/>
      <c r="P54" s="450"/>
      <c r="Q54" s="450"/>
      <c r="R54" s="450"/>
      <c r="S54" s="450"/>
      <c r="T54" s="450"/>
      <c r="U54" s="450"/>
    </row>
    <row r="55" spans="1:22">
      <c r="B55" s="450"/>
      <c r="C55" s="450"/>
      <c r="D55" s="450"/>
      <c r="E55" s="450"/>
      <c r="F55" s="450"/>
      <c r="G55" s="450"/>
      <c r="H55" s="450"/>
      <c r="I55" s="450"/>
      <c r="J55" s="450"/>
      <c r="K55" s="450"/>
      <c r="L55" s="450"/>
      <c r="M55" s="450"/>
      <c r="N55" s="450"/>
      <c r="O55" s="450"/>
      <c r="P55" s="450"/>
      <c r="Q55" s="450"/>
      <c r="R55" s="450"/>
      <c r="S55" s="450"/>
      <c r="T55" s="450"/>
      <c r="U55" s="450"/>
    </row>
    <row r="56" spans="1:22" ht="15">
      <c r="B56" s="379" t="s">
        <v>80</v>
      </c>
      <c r="C56" s="379"/>
      <c r="D56" s="379"/>
      <c r="E56" s="379"/>
      <c r="F56" s="379"/>
      <c r="G56" s="379"/>
      <c r="H56" s="379"/>
      <c r="I56" s="379"/>
      <c r="J56" s="382" t="s">
        <v>242</v>
      </c>
      <c r="K56" s="382"/>
      <c r="L56" s="382">
        <f>MIN('Shell Plate Design '!Q39:R43)-COVER!H166</f>
        <v>4.4000000000000004</v>
      </c>
      <c r="M56" s="382"/>
      <c r="N56" s="382"/>
      <c r="O56" s="30"/>
      <c r="P56" s="30"/>
      <c r="Q56" s="30"/>
      <c r="R56" s="30"/>
      <c r="S56" s="30"/>
      <c r="T56" s="30"/>
      <c r="U56" s="30"/>
    </row>
    <row r="57" spans="1:22" ht="15">
      <c r="B57" s="379"/>
      <c r="C57" s="379"/>
      <c r="D57" s="379"/>
      <c r="E57" s="379"/>
      <c r="F57" s="379"/>
      <c r="G57" s="379"/>
      <c r="H57" s="379"/>
      <c r="I57" s="379"/>
      <c r="J57" s="382" t="s">
        <v>243</v>
      </c>
      <c r="K57" s="382"/>
      <c r="L57" s="382">
        <f>((COVER!H153))/1000</f>
        <v>13</v>
      </c>
      <c r="M57" s="382"/>
      <c r="N57" s="382"/>
      <c r="O57" s="30"/>
      <c r="P57" s="30"/>
      <c r="Q57" s="30"/>
      <c r="R57" s="30"/>
      <c r="S57" s="30"/>
      <c r="T57" s="30"/>
      <c r="U57" s="30"/>
    </row>
    <row r="58" spans="1:22" ht="15">
      <c r="B58" s="453"/>
      <c r="C58" s="454"/>
      <c r="D58" s="454"/>
      <c r="E58" s="454"/>
      <c r="F58" s="454"/>
      <c r="G58" s="454"/>
      <c r="H58" s="454"/>
      <c r="I58" s="454"/>
      <c r="J58" s="382" t="s">
        <v>244</v>
      </c>
      <c r="K58" s="382"/>
      <c r="L58" s="382">
        <f>COVER!H171</f>
        <v>232</v>
      </c>
      <c r="M58" s="382"/>
      <c r="N58" s="382"/>
      <c r="O58" s="30"/>
      <c r="P58" s="30"/>
      <c r="Q58" s="30"/>
      <c r="R58" s="30"/>
      <c r="S58" s="30"/>
      <c r="T58" s="30"/>
      <c r="U58" s="30"/>
    </row>
    <row r="59" spans="1:22" ht="15">
      <c r="B59" s="454"/>
      <c r="C59" s="454"/>
      <c r="D59" s="454"/>
      <c r="E59" s="454"/>
      <c r="F59" s="454"/>
      <c r="G59" s="454"/>
      <c r="H59" s="454"/>
      <c r="I59" s="454"/>
      <c r="J59" s="378" t="s">
        <v>732</v>
      </c>
      <c r="K59" s="378"/>
      <c r="L59" s="380">
        <f>L61+0.24</f>
        <v>2.4466349030470917</v>
      </c>
      <c r="M59" s="380"/>
      <c r="N59" s="380"/>
      <c r="O59" s="30"/>
      <c r="P59" s="30"/>
      <c r="Q59" s="30"/>
      <c r="R59" s="30"/>
      <c r="S59" s="30"/>
      <c r="T59" s="30"/>
      <c r="U59" s="30"/>
    </row>
    <row r="60" spans="1:22" ht="15">
      <c r="B60" s="454"/>
      <c r="C60" s="454"/>
      <c r="D60" s="454"/>
      <c r="E60" s="454"/>
      <c r="F60" s="454"/>
      <c r="G60" s="454"/>
      <c r="H60" s="454"/>
      <c r="I60" s="454"/>
      <c r="J60" s="378"/>
      <c r="K60" s="378"/>
      <c r="L60" s="380"/>
      <c r="M60" s="380"/>
      <c r="N60" s="380"/>
      <c r="O60" s="30"/>
      <c r="P60" s="30"/>
      <c r="Q60" s="30"/>
      <c r="R60" s="30"/>
      <c r="S60" s="30"/>
      <c r="T60" s="30"/>
      <c r="U60" s="30"/>
    </row>
    <row r="61" spans="1:22" ht="15">
      <c r="B61" s="454"/>
      <c r="C61" s="454"/>
      <c r="D61" s="454"/>
      <c r="E61" s="454"/>
      <c r="F61" s="454"/>
      <c r="G61" s="454"/>
      <c r="H61" s="454"/>
      <c r="I61" s="454"/>
      <c r="J61" s="378" t="s">
        <v>733</v>
      </c>
      <c r="K61" s="378"/>
      <c r="L61" s="380">
        <f>1.48*(L58/190)^2</f>
        <v>2.2066349030470915</v>
      </c>
      <c r="M61" s="380"/>
      <c r="N61" s="380"/>
      <c r="O61" s="30"/>
      <c r="P61" s="30"/>
      <c r="Q61" s="30"/>
      <c r="R61" s="30"/>
      <c r="S61" s="30"/>
      <c r="T61" s="30"/>
      <c r="U61" s="30"/>
    </row>
    <row r="62" spans="1:22" ht="15" customHeight="1">
      <c r="B62" s="56"/>
      <c r="C62" s="56"/>
      <c r="D62" s="56"/>
      <c r="E62" s="56"/>
      <c r="F62" s="56"/>
      <c r="G62" s="56"/>
      <c r="H62" s="56"/>
      <c r="I62" s="56"/>
      <c r="J62" s="378"/>
      <c r="K62" s="378"/>
      <c r="L62" s="380"/>
      <c r="M62" s="380"/>
      <c r="N62" s="380"/>
    </row>
    <row r="63" spans="1:22" ht="18" customHeight="1">
      <c r="B63" s="56"/>
      <c r="C63" s="56"/>
      <c r="D63" s="56"/>
      <c r="E63" s="56"/>
      <c r="F63" s="56"/>
      <c r="G63" s="56"/>
      <c r="H63" s="56"/>
      <c r="I63" s="56"/>
      <c r="J63" s="353" t="s">
        <v>731</v>
      </c>
      <c r="K63" s="353"/>
      <c r="L63" s="381">
        <f>9.47*(L56)*(L56/L57)^(3/2)*(1.72/L59)*1000</f>
        <v>5768.008898246896</v>
      </c>
      <c r="M63" s="381"/>
      <c r="N63" s="381"/>
    </row>
    <row r="64" spans="1:22" ht="15" customHeight="1">
      <c r="B64" s="56"/>
      <c r="C64" s="56"/>
      <c r="D64" s="56"/>
      <c r="E64" s="56"/>
      <c r="F64" s="56"/>
      <c r="G64" s="56"/>
      <c r="H64" s="56"/>
      <c r="I64" s="56"/>
    </row>
    <row r="65" spans="2:21" ht="15" customHeight="1">
      <c r="B65" s="56"/>
      <c r="C65" s="56"/>
      <c r="D65" s="56"/>
      <c r="E65" s="56"/>
      <c r="F65" s="56"/>
      <c r="G65" s="56"/>
      <c r="H65" s="56"/>
      <c r="I65" s="56"/>
    </row>
    <row r="78" spans="2:21">
      <c r="B78" s="452" t="s">
        <v>60</v>
      </c>
      <c r="C78" s="452"/>
      <c r="D78" s="452"/>
      <c r="E78" s="452"/>
      <c r="F78" s="452" t="s">
        <v>368</v>
      </c>
      <c r="G78" s="452"/>
      <c r="H78" s="452"/>
      <c r="I78" s="452"/>
      <c r="J78" s="452" t="s">
        <v>463</v>
      </c>
      <c r="K78" s="452"/>
      <c r="L78" s="452"/>
      <c r="M78" s="452"/>
      <c r="N78" s="452" t="s">
        <v>464</v>
      </c>
      <c r="O78" s="452"/>
      <c r="P78" s="452"/>
      <c r="Q78" s="452"/>
      <c r="R78" s="452" t="s">
        <v>213</v>
      </c>
      <c r="S78" s="452"/>
      <c r="T78" s="452"/>
      <c r="U78" s="452"/>
    </row>
    <row r="79" spans="2:21">
      <c r="B79" s="452"/>
      <c r="C79" s="452"/>
      <c r="D79" s="452"/>
      <c r="E79" s="452"/>
      <c r="F79" s="452"/>
      <c r="G79" s="452"/>
      <c r="H79" s="452"/>
      <c r="I79" s="452"/>
      <c r="J79" s="452"/>
      <c r="K79" s="452"/>
      <c r="L79" s="452"/>
      <c r="M79" s="452"/>
      <c r="N79" s="452"/>
      <c r="O79" s="452"/>
      <c r="P79" s="452"/>
      <c r="Q79" s="452"/>
      <c r="R79" s="452"/>
      <c r="S79" s="452"/>
      <c r="T79" s="452"/>
      <c r="U79" s="452"/>
    </row>
    <row r="80" spans="2:21">
      <c r="B80" s="209" t="s">
        <v>448</v>
      </c>
      <c r="C80" s="209"/>
      <c r="D80" s="209"/>
      <c r="E80" s="209"/>
      <c r="F80" s="209">
        <f>'Shell Plate Design '!D39</f>
        <v>2000</v>
      </c>
      <c r="G80" s="209"/>
      <c r="H80" s="209"/>
      <c r="I80" s="209"/>
      <c r="J80" s="209">
        <f>'Shell Plate Design '!Q39-'Shell Plate Design '!$K$22</f>
        <v>6.4</v>
      </c>
      <c r="K80" s="209"/>
      <c r="L80" s="209"/>
      <c r="M80" s="209"/>
      <c r="N80" s="209">
        <f>MIN(J80:M91)</f>
        <v>4.4000000000000004</v>
      </c>
      <c r="O80" s="209"/>
      <c r="P80" s="209"/>
      <c r="Q80" s="209"/>
      <c r="R80" s="451">
        <f>F80*((N80/J80)^2.5)</f>
        <v>783.81171803320967</v>
      </c>
      <c r="S80" s="451"/>
      <c r="T80" s="451"/>
      <c r="U80" s="451"/>
    </row>
    <row r="81" spans="2:21">
      <c r="B81" s="209"/>
      <c r="C81" s="209"/>
      <c r="D81" s="209"/>
      <c r="E81" s="209"/>
      <c r="F81" s="209"/>
      <c r="G81" s="209"/>
      <c r="H81" s="209"/>
      <c r="I81" s="209"/>
      <c r="J81" s="209"/>
      <c r="K81" s="209"/>
      <c r="L81" s="209"/>
      <c r="M81" s="209"/>
      <c r="N81" s="209"/>
      <c r="O81" s="209"/>
      <c r="P81" s="209"/>
      <c r="Q81" s="209"/>
      <c r="R81" s="451"/>
      <c r="S81" s="451"/>
      <c r="T81" s="451"/>
      <c r="U81" s="451"/>
    </row>
    <row r="82" spans="2:21">
      <c r="B82" s="209" t="s">
        <v>449</v>
      </c>
      <c r="C82" s="209"/>
      <c r="D82" s="209"/>
      <c r="E82" s="209"/>
      <c r="F82" s="209">
        <f>'Shell Plate Design '!D40</f>
        <v>2000</v>
      </c>
      <c r="G82" s="209"/>
      <c r="H82" s="209"/>
      <c r="I82" s="209"/>
      <c r="J82" s="209">
        <f>'Shell Plate Design '!Q40-'Shell Plate Design '!$K$22</f>
        <v>6.4</v>
      </c>
      <c r="K82" s="209"/>
      <c r="L82" s="209"/>
      <c r="M82" s="209"/>
      <c r="N82" s="209">
        <f>N80</f>
        <v>4.4000000000000004</v>
      </c>
      <c r="O82" s="209"/>
      <c r="P82" s="209"/>
      <c r="Q82" s="209"/>
      <c r="R82" s="451">
        <f t="shared" ref="R82" si="0">F82*((N82/J82)^2.5)</f>
        <v>783.81171803320967</v>
      </c>
      <c r="S82" s="451"/>
      <c r="T82" s="451"/>
      <c r="U82" s="451"/>
    </row>
    <row r="83" spans="2:21">
      <c r="B83" s="209"/>
      <c r="C83" s="209"/>
      <c r="D83" s="209"/>
      <c r="E83" s="209"/>
      <c r="F83" s="209"/>
      <c r="G83" s="209"/>
      <c r="H83" s="209"/>
      <c r="I83" s="209"/>
      <c r="J83" s="209"/>
      <c r="K83" s="209"/>
      <c r="L83" s="209"/>
      <c r="M83" s="209"/>
      <c r="N83" s="209"/>
      <c r="O83" s="209"/>
      <c r="P83" s="209"/>
      <c r="Q83" s="209"/>
      <c r="R83" s="451"/>
      <c r="S83" s="451"/>
      <c r="T83" s="451"/>
      <c r="U83" s="451"/>
    </row>
    <row r="84" spans="2:21">
      <c r="B84" s="209" t="s">
        <v>450</v>
      </c>
      <c r="C84" s="209"/>
      <c r="D84" s="209"/>
      <c r="E84" s="209"/>
      <c r="F84" s="209">
        <f>'Shell Plate Design '!D41</f>
        <v>1500</v>
      </c>
      <c r="G84" s="209"/>
      <c r="H84" s="209"/>
      <c r="I84" s="209"/>
      <c r="J84" s="209">
        <f>'Shell Plate Design '!Q41-'Shell Plate Design '!$K$22</f>
        <v>4.4000000000000004</v>
      </c>
      <c r="K84" s="209"/>
      <c r="L84" s="209"/>
      <c r="M84" s="209"/>
      <c r="N84" s="209">
        <f>N80</f>
        <v>4.4000000000000004</v>
      </c>
      <c r="O84" s="209"/>
      <c r="P84" s="209"/>
      <c r="Q84" s="209"/>
      <c r="R84" s="451">
        <f t="shared" ref="R84" si="1">F84*((N84/J84)^2.5)</f>
        <v>1500</v>
      </c>
      <c r="S84" s="451"/>
      <c r="T84" s="451"/>
      <c r="U84" s="451"/>
    </row>
    <row r="85" spans="2:21">
      <c r="B85" s="209"/>
      <c r="C85" s="209"/>
      <c r="D85" s="209"/>
      <c r="E85" s="209"/>
      <c r="F85" s="209"/>
      <c r="G85" s="209"/>
      <c r="H85" s="209"/>
      <c r="I85" s="209"/>
      <c r="J85" s="209"/>
      <c r="K85" s="209"/>
      <c r="L85" s="209"/>
      <c r="M85" s="209"/>
      <c r="N85" s="209"/>
      <c r="O85" s="209"/>
      <c r="P85" s="209"/>
      <c r="Q85" s="209"/>
      <c r="R85" s="451"/>
      <c r="S85" s="451"/>
      <c r="T85" s="451"/>
      <c r="U85" s="451"/>
    </row>
    <row r="86" spans="2:21">
      <c r="B86" s="209" t="s">
        <v>451</v>
      </c>
      <c r="C86" s="209"/>
      <c r="D86" s="209"/>
      <c r="E86" s="209"/>
      <c r="F86" s="209">
        <f>'Shell Plate Design '!D42</f>
        <v>1500</v>
      </c>
      <c r="G86" s="209"/>
      <c r="H86" s="209"/>
      <c r="I86" s="209"/>
      <c r="J86" s="209">
        <f>'Shell Plate Design '!Q42-'Shell Plate Design '!$K$22</f>
        <v>4.4000000000000004</v>
      </c>
      <c r="K86" s="209"/>
      <c r="L86" s="209"/>
      <c r="M86" s="209"/>
      <c r="N86" s="209">
        <f>N80</f>
        <v>4.4000000000000004</v>
      </c>
      <c r="O86" s="209"/>
      <c r="P86" s="209"/>
      <c r="Q86" s="209"/>
      <c r="R86" s="451">
        <f t="shared" ref="R86" si="2">F86*((N86/J86)^2.5)</f>
        <v>1500</v>
      </c>
      <c r="S86" s="451"/>
      <c r="T86" s="451"/>
      <c r="U86" s="451"/>
    </row>
    <row r="87" spans="2:21">
      <c r="B87" s="209"/>
      <c r="C87" s="209"/>
      <c r="D87" s="209"/>
      <c r="E87" s="209"/>
      <c r="F87" s="209"/>
      <c r="G87" s="209"/>
      <c r="H87" s="209"/>
      <c r="I87" s="209"/>
      <c r="J87" s="209"/>
      <c r="K87" s="209"/>
      <c r="L87" s="209"/>
      <c r="M87" s="209"/>
      <c r="N87" s="209"/>
      <c r="O87" s="209"/>
      <c r="P87" s="209"/>
      <c r="Q87" s="209"/>
      <c r="R87" s="451"/>
      <c r="S87" s="451"/>
      <c r="T87" s="451"/>
      <c r="U87" s="451"/>
    </row>
    <row r="88" spans="2:21">
      <c r="B88" s="209" t="s">
        <v>452</v>
      </c>
      <c r="C88" s="209"/>
      <c r="D88" s="209"/>
      <c r="E88" s="209"/>
      <c r="F88" s="209">
        <f>'Shell Plate Design '!D43</f>
        <v>1500</v>
      </c>
      <c r="G88" s="209"/>
      <c r="H88" s="209"/>
      <c r="I88" s="209"/>
      <c r="J88" s="209">
        <f>'Shell Plate Design '!Q43-'Shell Plate Design '!$K$22</f>
        <v>4.4000000000000004</v>
      </c>
      <c r="K88" s="209"/>
      <c r="L88" s="209"/>
      <c r="M88" s="209"/>
      <c r="N88" s="209">
        <f>N80</f>
        <v>4.4000000000000004</v>
      </c>
      <c r="O88" s="209"/>
      <c r="P88" s="209"/>
      <c r="Q88" s="209"/>
      <c r="R88" s="451">
        <f>F88*((N88/J88)^2.5)</f>
        <v>1500</v>
      </c>
      <c r="S88" s="451"/>
      <c r="T88" s="451"/>
      <c r="U88" s="451"/>
    </row>
    <row r="89" spans="2:21">
      <c r="B89" s="209"/>
      <c r="C89" s="209"/>
      <c r="D89" s="209"/>
      <c r="E89" s="209"/>
      <c r="F89" s="209"/>
      <c r="G89" s="209"/>
      <c r="H89" s="209"/>
      <c r="I89" s="209"/>
      <c r="J89" s="209"/>
      <c r="K89" s="209"/>
      <c r="L89" s="209"/>
      <c r="M89" s="209"/>
      <c r="N89" s="209"/>
      <c r="O89" s="209"/>
      <c r="P89" s="209"/>
      <c r="Q89" s="209"/>
      <c r="R89" s="451"/>
      <c r="S89" s="451"/>
      <c r="T89" s="451"/>
      <c r="U89" s="451"/>
    </row>
    <row r="90" spans="2:21">
      <c r="B90" s="209" t="s">
        <v>505</v>
      </c>
      <c r="C90" s="209"/>
      <c r="D90" s="209"/>
      <c r="E90" s="209"/>
      <c r="F90" s="209">
        <f>'Shell Plate Design '!D44</f>
        <v>1000</v>
      </c>
      <c r="G90" s="209"/>
      <c r="H90" s="209"/>
      <c r="I90" s="209"/>
      <c r="J90" s="209">
        <f>'Shell Plate Design '!Q44-'Shell Plate Design '!$K$22</f>
        <v>4.4000000000000004</v>
      </c>
      <c r="K90" s="209"/>
      <c r="L90" s="209"/>
      <c r="M90" s="209"/>
      <c r="N90" s="209">
        <f>N82</f>
        <v>4.4000000000000004</v>
      </c>
      <c r="O90" s="209"/>
      <c r="P90" s="209"/>
      <c r="Q90" s="209"/>
      <c r="R90" s="451">
        <f>F90*((N90/J90)^2.5)</f>
        <v>1000</v>
      </c>
      <c r="S90" s="451"/>
      <c r="T90" s="451"/>
      <c r="U90" s="451"/>
    </row>
    <row r="91" spans="2:21">
      <c r="B91" s="209"/>
      <c r="C91" s="209"/>
      <c r="D91" s="209"/>
      <c r="E91" s="209"/>
      <c r="F91" s="209"/>
      <c r="G91" s="209"/>
      <c r="H91" s="209"/>
      <c r="I91" s="209"/>
      <c r="J91" s="209"/>
      <c r="K91" s="209"/>
      <c r="L91" s="209"/>
      <c r="M91" s="209"/>
      <c r="N91" s="209"/>
      <c r="O91" s="209"/>
      <c r="P91" s="209"/>
      <c r="Q91" s="209"/>
      <c r="R91" s="451"/>
      <c r="S91" s="451"/>
      <c r="T91" s="451"/>
      <c r="U91" s="451"/>
    </row>
    <row r="92" spans="2:21">
      <c r="B92" s="209" t="s">
        <v>87</v>
      </c>
      <c r="C92" s="209"/>
      <c r="D92" s="209"/>
      <c r="E92" s="209"/>
      <c r="F92" s="209"/>
      <c r="G92" s="209"/>
      <c r="H92" s="209"/>
      <c r="I92" s="209"/>
      <c r="J92" s="209"/>
      <c r="K92" s="209"/>
      <c r="L92" s="209"/>
      <c r="M92" s="209"/>
      <c r="N92" s="209"/>
      <c r="O92" s="209"/>
      <c r="P92" s="209"/>
      <c r="Q92" s="209"/>
      <c r="R92" s="451">
        <f>SUM(R80:U91)</f>
        <v>7067.6234360664193</v>
      </c>
      <c r="S92" s="451"/>
      <c r="T92" s="451"/>
      <c r="U92" s="451"/>
    </row>
    <row r="93" spans="2:21" ht="38.25" customHeight="1">
      <c r="B93" s="209"/>
      <c r="C93" s="209"/>
      <c r="D93" s="209"/>
      <c r="E93" s="209"/>
      <c r="F93" s="209"/>
      <c r="G93" s="209"/>
      <c r="H93" s="209"/>
      <c r="I93" s="209"/>
      <c r="J93" s="209"/>
      <c r="K93" s="209"/>
      <c r="L93" s="209"/>
      <c r="M93" s="209"/>
      <c r="N93" s="209"/>
      <c r="O93" s="209"/>
      <c r="P93" s="209"/>
      <c r="Q93" s="209"/>
      <c r="R93" s="451"/>
      <c r="S93" s="451"/>
      <c r="T93" s="451"/>
      <c r="U93" s="451"/>
    </row>
    <row r="94" spans="2:21" ht="15">
      <c r="B94" s="177" t="s">
        <v>465</v>
      </c>
      <c r="C94" s="177"/>
      <c r="D94" s="177"/>
      <c r="E94" s="177"/>
      <c r="F94" s="177"/>
      <c r="G94" s="177"/>
      <c r="H94" s="177"/>
      <c r="I94" s="177"/>
      <c r="J94" s="177"/>
      <c r="K94" s="177"/>
      <c r="L94" s="177"/>
      <c r="M94" s="177"/>
      <c r="N94" s="177"/>
      <c r="O94" s="177"/>
      <c r="P94" s="177"/>
      <c r="Q94" s="177"/>
      <c r="R94" s="177"/>
      <c r="S94" s="177"/>
      <c r="T94" s="177"/>
      <c r="U94" s="177"/>
    </row>
    <row r="95" spans="2:21" ht="15" customHeight="1">
      <c r="B95" s="449" t="s">
        <v>632</v>
      </c>
      <c r="C95" s="449"/>
      <c r="D95" s="449"/>
      <c r="E95" s="449"/>
      <c r="F95" s="449"/>
      <c r="G95" s="449"/>
      <c r="H95" s="449"/>
      <c r="I95" s="449"/>
      <c r="J95" s="449"/>
      <c r="K95" s="449"/>
      <c r="L95" s="449"/>
      <c r="M95" s="449"/>
      <c r="N95" s="449"/>
      <c r="O95" s="449"/>
      <c r="P95" s="449"/>
      <c r="Q95" s="449"/>
      <c r="R95" s="449"/>
      <c r="S95" s="449"/>
      <c r="T95" s="449"/>
      <c r="U95" s="449"/>
    </row>
    <row r="96" spans="2:21" ht="15" customHeight="1">
      <c r="B96" s="449"/>
      <c r="C96" s="449"/>
      <c r="D96" s="449"/>
      <c r="E96" s="449"/>
      <c r="F96" s="449"/>
      <c r="G96" s="449"/>
      <c r="H96" s="449"/>
      <c r="I96" s="449"/>
      <c r="J96" s="449"/>
      <c r="K96" s="449"/>
      <c r="L96" s="449"/>
      <c r="M96" s="449"/>
      <c r="N96" s="449"/>
      <c r="O96" s="449"/>
      <c r="P96" s="449"/>
      <c r="Q96" s="449"/>
      <c r="R96" s="449"/>
      <c r="S96" s="449"/>
      <c r="T96" s="449"/>
      <c r="U96" s="449"/>
    </row>
    <row r="97" spans="1:22" ht="15" customHeight="1">
      <c r="B97" s="448" t="str">
        <f>IF(L63&lt;R92,"So intermediate wind girder is  required.","So intermediate wind girder is not required. ")</f>
        <v>So intermediate wind girder is  required.</v>
      </c>
      <c r="C97" s="448"/>
      <c r="D97" s="448"/>
      <c r="E97" s="448"/>
      <c r="F97" s="448"/>
      <c r="G97" s="448"/>
      <c r="H97" s="448"/>
      <c r="I97" s="448"/>
      <c r="J97" s="448"/>
      <c r="K97" s="448"/>
      <c r="L97" s="448"/>
      <c r="M97" s="448"/>
      <c r="N97" s="448"/>
      <c r="O97" s="448"/>
      <c r="P97" s="448"/>
      <c r="Q97" s="448"/>
      <c r="R97" s="448"/>
      <c r="S97" s="448"/>
      <c r="T97" s="448"/>
      <c r="U97" s="448"/>
    </row>
    <row r="98" spans="1:22" ht="15" customHeight="1">
      <c r="B98" s="448"/>
      <c r="C98" s="448"/>
      <c r="D98" s="448"/>
      <c r="E98" s="448"/>
      <c r="F98" s="448"/>
      <c r="G98" s="448"/>
      <c r="H98" s="448"/>
      <c r="I98" s="448"/>
      <c r="J98" s="448"/>
      <c r="K98" s="448"/>
      <c r="L98" s="448"/>
      <c r="M98" s="448"/>
      <c r="N98" s="448"/>
      <c r="O98" s="448"/>
      <c r="P98" s="448"/>
      <c r="Q98" s="448"/>
      <c r="R98" s="448"/>
      <c r="S98" s="448"/>
      <c r="T98" s="448"/>
      <c r="U98" s="448"/>
    </row>
    <row r="99" spans="1:22" ht="15" customHeight="1">
      <c r="B99" s="30"/>
      <c r="C99" s="30"/>
      <c r="D99" s="30"/>
      <c r="E99" s="30"/>
      <c r="F99" s="30"/>
      <c r="G99" s="30"/>
      <c r="H99" s="51"/>
      <c r="I99" s="30"/>
      <c r="J99" s="30"/>
      <c r="K99" s="30"/>
      <c r="L99" s="30"/>
      <c r="M99" s="30"/>
      <c r="N99" s="30"/>
      <c r="O99" s="30"/>
      <c r="P99" s="30"/>
      <c r="Q99" s="30"/>
      <c r="R99" s="30"/>
      <c r="S99" s="50"/>
      <c r="T99" s="50"/>
      <c r="U99" s="50"/>
    </row>
    <row r="100" spans="1:22" ht="15">
      <c r="B100" s="136" t="s">
        <v>797</v>
      </c>
      <c r="H100">
        <f>R92/L63</f>
        <v>1.2253142394101582</v>
      </c>
      <c r="I100" t="s">
        <v>893</v>
      </c>
    </row>
    <row r="101" spans="1:22" ht="15">
      <c r="B101" s="136" t="s">
        <v>798</v>
      </c>
    </row>
    <row r="102" spans="1:22" ht="15">
      <c r="B102" s="136" t="s">
        <v>799</v>
      </c>
    </row>
    <row r="103" spans="1:22" ht="15.75">
      <c r="B103" s="136" t="s">
        <v>800</v>
      </c>
      <c r="D103">
        <f>R92/2</f>
        <v>3533.8117180332097</v>
      </c>
      <c r="E103" t="s">
        <v>29</v>
      </c>
      <c r="F103" s="65" t="s">
        <v>522</v>
      </c>
      <c r="G103" t="s">
        <v>894</v>
      </c>
      <c r="J103">
        <f>D103/2</f>
        <v>1766.9058590166048</v>
      </c>
      <c r="K103" t="s">
        <v>29</v>
      </c>
      <c r="L103" t="s">
        <v>895</v>
      </c>
    </row>
    <row r="104" spans="1:22" ht="15" thickBot="1"/>
    <row r="105" spans="1:22">
      <c r="A105" s="229"/>
      <c r="B105" s="230"/>
      <c r="C105" s="230"/>
      <c r="D105" s="230"/>
      <c r="E105" s="231"/>
      <c r="F105" s="158" t="str">
        <f>F45</f>
        <v>نگهداشت و افزایش تولید میدان نفتی بینک
سطح الارض و ابنیه تحت الارض 
خرید مخازن ذخیره گاز ایستگاه تقویت فشار گاز بینک 
(قرارداد BK-HD-GCS-CO-0026_00 )</v>
      </c>
      <c r="G105" s="159"/>
      <c r="H105" s="159"/>
      <c r="I105" s="159"/>
      <c r="J105" s="159"/>
      <c r="K105" s="159"/>
      <c r="L105" s="159"/>
      <c r="M105" s="159"/>
      <c r="N105" s="159"/>
      <c r="O105" s="159"/>
      <c r="P105" s="159"/>
      <c r="Q105" s="160"/>
      <c r="R105" s="238"/>
      <c r="S105" s="238"/>
      <c r="T105" s="238"/>
      <c r="U105" s="238"/>
      <c r="V105" s="239"/>
    </row>
    <row r="106" spans="1:22">
      <c r="A106" s="232"/>
      <c r="B106" s="233"/>
      <c r="C106" s="233"/>
      <c r="D106" s="233"/>
      <c r="E106" s="234"/>
      <c r="F106" s="161"/>
      <c r="G106" s="162"/>
      <c r="H106" s="162"/>
      <c r="I106" s="162"/>
      <c r="J106" s="162"/>
      <c r="K106" s="162"/>
      <c r="L106" s="162"/>
      <c r="M106" s="162"/>
      <c r="N106" s="162"/>
      <c r="O106" s="162"/>
      <c r="P106" s="162"/>
      <c r="Q106" s="163"/>
      <c r="R106" s="177"/>
      <c r="S106" s="177"/>
      <c r="T106" s="177"/>
      <c r="U106" s="177"/>
      <c r="V106" s="240"/>
    </row>
    <row r="107" spans="1:22">
      <c r="A107" s="232"/>
      <c r="B107" s="233"/>
      <c r="C107" s="233"/>
      <c r="D107" s="233"/>
      <c r="E107" s="234"/>
      <c r="F107" s="161"/>
      <c r="G107" s="162"/>
      <c r="H107" s="162"/>
      <c r="I107" s="162"/>
      <c r="J107" s="162"/>
      <c r="K107" s="162"/>
      <c r="L107" s="162"/>
      <c r="M107" s="162"/>
      <c r="N107" s="162"/>
      <c r="O107" s="162"/>
      <c r="P107" s="162"/>
      <c r="Q107" s="163"/>
      <c r="R107" s="177"/>
      <c r="S107" s="177"/>
      <c r="T107" s="177"/>
      <c r="U107" s="177"/>
      <c r="V107" s="240"/>
    </row>
    <row r="108" spans="1:22">
      <c r="A108" s="232"/>
      <c r="B108" s="233"/>
      <c r="C108" s="233"/>
      <c r="D108" s="233"/>
      <c r="E108" s="234"/>
      <c r="F108" s="161"/>
      <c r="G108" s="162"/>
      <c r="H108" s="162"/>
      <c r="I108" s="162"/>
      <c r="J108" s="162"/>
      <c r="K108" s="162"/>
      <c r="L108" s="162"/>
      <c r="M108" s="162"/>
      <c r="N108" s="162"/>
      <c r="O108" s="162"/>
      <c r="P108" s="162"/>
      <c r="Q108" s="163"/>
      <c r="R108" s="177"/>
      <c r="S108" s="177"/>
      <c r="T108" s="177"/>
      <c r="U108" s="177"/>
      <c r="V108" s="240"/>
    </row>
    <row r="109" spans="1:22">
      <c r="A109" s="232"/>
      <c r="B109" s="233"/>
      <c r="C109" s="233"/>
      <c r="D109" s="233"/>
      <c r="E109" s="234"/>
      <c r="F109" s="164"/>
      <c r="G109" s="165"/>
      <c r="H109" s="165"/>
      <c r="I109" s="165"/>
      <c r="J109" s="165"/>
      <c r="K109" s="165"/>
      <c r="L109" s="165"/>
      <c r="M109" s="165"/>
      <c r="N109" s="165"/>
      <c r="O109" s="165"/>
      <c r="P109" s="165"/>
      <c r="Q109" s="166"/>
      <c r="R109" s="177"/>
      <c r="S109" s="177"/>
      <c r="T109" s="177"/>
      <c r="U109" s="177"/>
      <c r="V109" s="240"/>
    </row>
    <row r="110" spans="1:22" ht="19.899999999999999" customHeight="1">
      <c r="A110" s="235"/>
      <c r="B110" s="236"/>
      <c r="C110" s="236"/>
      <c r="D110" s="236"/>
      <c r="E110" s="237"/>
      <c r="F110" s="265" t="str">
        <f>F50</f>
        <v>Mechanical Calculation Book For Fire Water Tanks (TK-2301A/B)</v>
      </c>
      <c r="G110" s="266"/>
      <c r="H110" s="266"/>
      <c r="I110" s="266"/>
      <c r="J110" s="266"/>
      <c r="K110" s="266"/>
      <c r="L110" s="266"/>
      <c r="M110" s="266"/>
      <c r="N110" s="266"/>
      <c r="O110" s="266"/>
      <c r="P110" s="266"/>
      <c r="Q110" s="267"/>
      <c r="R110" s="177"/>
      <c r="S110" s="177"/>
      <c r="T110" s="177"/>
      <c r="U110" s="177"/>
      <c r="V110" s="240"/>
    </row>
    <row r="111" spans="1:22" ht="17.45" customHeight="1">
      <c r="A111" s="167" t="s">
        <v>743</v>
      </c>
      <c r="B111" s="168"/>
      <c r="C111" s="168"/>
      <c r="D111" s="168"/>
      <c r="E111" s="169"/>
      <c r="F111" s="125" t="s">
        <v>744</v>
      </c>
      <c r="G111" s="170" t="s">
        <v>745</v>
      </c>
      <c r="H111" s="171"/>
      <c r="I111" s="170" t="s">
        <v>746</v>
      </c>
      <c r="J111" s="171"/>
      <c r="K111" s="170" t="s">
        <v>747</v>
      </c>
      <c r="L111" s="171"/>
      <c r="M111" s="125" t="s">
        <v>748</v>
      </c>
      <c r="N111" s="170" t="s">
        <v>749</v>
      </c>
      <c r="O111" s="171"/>
      <c r="P111" s="125" t="s">
        <v>750</v>
      </c>
      <c r="Q111" s="126" t="s">
        <v>751</v>
      </c>
      <c r="R111" s="172">
        <f>R51</f>
        <v>29</v>
      </c>
      <c r="S111" s="174" t="s">
        <v>752</v>
      </c>
      <c r="T111" s="263">
        <f>T51+1</f>
        <v>13</v>
      </c>
      <c r="U111" s="168" t="s">
        <v>753</v>
      </c>
      <c r="V111" s="188"/>
    </row>
    <row r="112" spans="1:22" ht="22.9" customHeight="1" thickBot="1">
      <c r="A112" s="191" t="s">
        <v>754</v>
      </c>
      <c r="B112" s="175"/>
      <c r="C112" s="175"/>
      <c r="D112" s="175"/>
      <c r="E112" s="192"/>
      <c r="F112" s="132" t="s">
        <v>755</v>
      </c>
      <c r="G112" s="193" t="s">
        <v>756</v>
      </c>
      <c r="H112" s="193"/>
      <c r="I112" s="193" t="s">
        <v>878</v>
      </c>
      <c r="J112" s="193"/>
      <c r="K112" s="193">
        <v>120</v>
      </c>
      <c r="L112" s="193"/>
      <c r="M112" s="132" t="s">
        <v>757</v>
      </c>
      <c r="N112" s="193" t="s">
        <v>879</v>
      </c>
      <c r="O112" s="193"/>
      <c r="P112" s="142" t="s">
        <v>881</v>
      </c>
      <c r="Q112" s="133" t="str">
        <f>Q52</f>
        <v>V01</v>
      </c>
      <c r="R112" s="173"/>
      <c r="S112" s="175"/>
      <c r="T112" s="264"/>
      <c r="U112" s="189"/>
      <c r="V112" s="190"/>
    </row>
    <row r="114" spans="2:8">
      <c r="B114" t="s">
        <v>801</v>
      </c>
    </row>
    <row r="116" spans="2:8" ht="15">
      <c r="H116" s="50"/>
    </row>
    <row r="120" spans="2:8" ht="17.25">
      <c r="B120" s="138" t="s">
        <v>605</v>
      </c>
      <c r="C120" s="381">
        <f>((6*C124*(C122)^2)/(0.5*C126))*(C128/1.72)</f>
        <v>133.6836870167478</v>
      </c>
      <c r="D120" s="381"/>
      <c r="E120" s="22" t="s">
        <v>807</v>
      </c>
      <c r="F120" t="s">
        <v>802</v>
      </c>
    </row>
    <row r="121" spans="2:8" ht="15">
      <c r="B121" s="22"/>
      <c r="E121" s="22"/>
    </row>
    <row r="122" spans="2:8" ht="15">
      <c r="B122" s="138" t="s">
        <v>552</v>
      </c>
      <c r="C122" s="353">
        <f>L57</f>
        <v>13</v>
      </c>
      <c r="D122" s="353"/>
      <c r="E122" s="22" t="s">
        <v>258</v>
      </c>
      <c r="F122" t="s">
        <v>803</v>
      </c>
    </row>
    <row r="123" spans="2:8" ht="15">
      <c r="B123" s="22"/>
      <c r="E123" s="22"/>
      <c r="F123" t="s">
        <v>804</v>
      </c>
    </row>
    <row r="124" spans="2:8" ht="16.5">
      <c r="B124" s="22" t="s">
        <v>808</v>
      </c>
      <c r="C124" s="353">
        <f>COVER!H154/1000</f>
        <v>9.5</v>
      </c>
      <c r="D124" s="353"/>
      <c r="E124" s="22" t="s">
        <v>258</v>
      </c>
      <c r="F124" t="s">
        <v>805</v>
      </c>
    </row>
    <row r="125" spans="2:8">
      <c r="F125" t="s">
        <v>806</v>
      </c>
    </row>
    <row r="126" spans="2:8" ht="18.75">
      <c r="B126" s="22" t="s">
        <v>809</v>
      </c>
      <c r="C126" s="353">
        <f>MIN(COVER!J228:M232)</f>
        <v>205</v>
      </c>
      <c r="D126" s="353"/>
      <c r="E126" s="22" t="s">
        <v>68</v>
      </c>
      <c r="F126" t="s">
        <v>811</v>
      </c>
    </row>
    <row r="127" spans="2:8">
      <c r="F127" t="s">
        <v>810</v>
      </c>
    </row>
    <row r="128" spans="2:8" ht="18.75">
      <c r="B128" s="22" t="s">
        <v>812</v>
      </c>
      <c r="C128" s="373">
        <f>L59</f>
        <v>2.4466349030470917</v>
      </c>
      <c r="D128" s="353"/>
      <c r="E128" s="22" t="s">
        <v>814</v>
      </c>
      <c r="F128" t="s">
        <v>813</v>
      </c>
    </row>
    <row r="129" spans="2:14" ht="15">
      <c r="E129" s="22"/>
    </row>
    <row r="130" spans="2:14" ht="18.75">
      <c r="B130" s="22" t="s">
        <v>815</v>
      </c>
      <c r="C130" s="373">
        <f>L61</f>
        <v>2.2066349030470915</v>
      </c>
      <c r="D130" s="353"/>
      <c r="E130" s="22" t="s">
        <v>814</v>
      </c>
      <c r="F130" t="s">
        <v>816</v>
      </c>
    </row>
    <row r="131" spans="2:14" ht="15">
      <c r="E131" s="22"/>
      <c r="F131" t="s">
        <v>817</v>
      </c>
    </row>
    <row r="132" spans="2:14" ht="15">
      <c r="B132" s="22"/>
      <c r="E132" s="22"/>
      <c r="F132" t="s">
        <v>818</v>
      </c>
      <c r="K132" t="s">
        <v>819</v>
      </c>
    </row>
    <row r="133" spans="2:14" ht="399.75">
      <c r="B133" s="22"/>
      <c r="E133" s="22"/>
      <c r="F133" s="155" t="s">
        <v>886</v>
      </c>
    </row>
    <row r="134" spans="2:14" ht="15">
      <c r="B134" s="22" t="s">
        <v>257</v>
      </c>
      <c r="C134" s="447">
        <f>COVER!H171</f>
        <v>232</v>
      </c>
      <c r="D134" s="353"/>
      <c r="E134" s="22" t="s">
        <v>821</v>
      </c>
      <c r="F134" t="s">
        <v>820</v>
      </c>
    </row>
    <row r="135" spans="2:14" ht="15">
      <c r="B135" s="22"/>
    </row>
    <row r="136" spans="2:14">
      <c r="F136" t="s">
        <v>822</v>
      </c>
      <c r="K136" s="353" t="s">
        <v>896</v>
      </c>
      <c r="L136" s="353"/>
      <c r="M136" s="353"/>
      <c r="N136" t="s">
        <v>823</v>
      </c>
    </row>
    <row r="137" spans="2:14" ht="15">
      <c r="B137" s="22" t="s">
        <v>824</v>
      </c>
      <c r="C137" s="353">
        <v>120</v>
      </c>
      <c r="D137" s="353"/>
      <c r="E137" s="22" t="s">
        <v>29</v>
      </c>
    </row>
    <row r="138" spans="2:14" ht="15">
      <c r="B138" s="22" t="s">
        <v>825</v>
      </c>
      <c r="C138" s="353">
        <v>12</v>
      </c>
      <c r="D138" s="353"/>
      <c r="E138" s="22" t="s">
        <v>29</v>
      </c>
    </row>
    <row r="139" spans="2:14" ht="15">
      <c r="B139" s="22" t="s">
        <v>826</v>
      </c>
      <c r="C139" s="353">
        <v>3.4</v>
      </c>
      <c r="D139" s="353"/>
      <c r="E139" s="22" t="s">
        <v>827</v>
      </c>
    </row>
    <row r="140" spans="2:14" ht="17.25">
      <c r="B140" s="22" t="s">
        <v>340</v>
      </c>
      <c r="C140" s="353">
        <v>27.5</v>
      </c>
      <c r="D140" s="353"/>
      <c r="E140" s="22" t="s">
        <v>828</v>
      </c>
    </row>
    <row r="141" spans="2:14" ht="17.25">
      <c r="B141" s="22" t="s">
        <v>829</v>
      </c>
      <c r="C141" s="353">
        <v>368</v>
      </c>
      <c r="D141" s="353"/>
      <c r="E141" s="22" t="s">
        <v>830</v>
      </c>
    </row>
    <row r="143" spans="2:14">
      <c r="B143" t="s">
        <v>831</v>
      </c>
      <c r="K143" s="381">
        <f>(C137-K144*10+2)/10</f>
        <v>8.8000000000000007</v>
      </c>
      <c r="L143" s="381"/>
      <c r="M143" t="s">
        <v>837</v>
      </c>
    </row>
    <row r="144" spans="2:14">
      <c r="B144" t="s">
        <v>832</v>
      </c>
      <c r="K144" s="381">
        <f>C139</f>
        <v>3.4</v>
      </c>
      <c r="L144" s="381"/>
      <c r="M144" t="s">
        <v>837</v>
      </c>
    </row>
    <row r="145" spans="2:21" ht="18.75">
      <c r="B145" t="s">
        <v>833</v>
      </c>
      <c r="K145" s="353">
        <f>N82+COVER!H166</f>
        <v>6</v>
      </c>
      <c r="L145" s="353"/>
      <c r="M145" t="s">
        <v>29</v>
      </c>
    </row>
    <row r="146" spans="2:21" ht="18.75">
      <c r="B146" t="s">
        <v>834</v>
      </c>
      <c r="K146" s="381">
        <f>2*16*K145/10</f>
        <v>19.2</v>
      </c>
      <c r="L146" s="381"/>
      <c r="M146" t="s">
        <v>837</v>
      </c>
    </row>
    <row r="147" spans="2:21" ht="18.75">
      <c r="B147" t="s">
        <v>835</v>
      </c>
    </row>
    <row r="148" spans="2:21" ht="18.75">
      <c r="B148" t="s">
        <v>836</v>
      </c>
    </row>
    <row r="149" spans="2:21" ht="16.5">
      <c r="B149" t="s">
        <v>838</v>
      </c>
    </row>
    <row r="151" spans="2:21" ht="22.5">
      <c r="B151" s="446" t="s">
        <v>839</v>
      </c>
      <c r="C151" s="446"/>
      <c r="D151" s="446"/>
      <c r="E151" s="446" t="s">
        <v>840</v>
      </c>
      <c r="F151" s="446"/>
      <c r="G151" s="446"/>
      <c r="H151" s="446" t="s">
        <v>841</v>
      </c>
      <c r="I151" s="446"/>
      <c r="J151" s="446"/>
      <c r="K151" s="446" t="s">
        <v>842</v>
      </c>
      <c r="L151" s="446"/>
      <c r="M151" s="446"/>
      <c r="N151" s="446" t="s">
        <v>843</v>
      </c>
      <c r="O151" s="446"/>
      <c r="P151" s="446"/>
      <c r="Q151" s="446" t="s">
        <v>844</v>
      </c>
      <c r="R151" s="446"/>
      <c r="S151" s="446"/>
      <c r="T151" s="446" t="s">
        <v>845</v>
      </c>
      <c r="U151" s="446"/>
    </row>
    <row r="152" spans="2:21">
      <c r="B152" s="218">
        <v>1</v>
      </c>
      <c r="C152" s="218"/>
      <c r="D152" s="218"/>
      <c r="E152" s="352">
        <f>K145*K146/10</f>
        <v>11.52</v>
      </c>
      <c r="F152" s="352"/>
      <c r="G152" s="352"/>
      <c r="H152" s="218">
        <f>K145/20</f>
        <v>0.3</v>
      </c>
      <c r="I152" s="218"/>
      <c r="J152" s="218"/>
      <c r="K152" s="352">
        <f>H152*E152</f>
        <v>3.456</v>
      </c>
      <c r="L152" s="352"/>
      <c r="M152" s="352"/>
      <c r="N152" s="218">
        <f>K146/2</f>
        <v>9.6</v>
      </c>
      <c r="O152" s="218"/>
      <c r="P152" s="218"/>
      <c r="Q152" s="445">
        <f>N152*E152</f>
        <v>110.592</v>
      </c>
      <c r="R152" s="445"/>
      <c r="S152" s="445"/>
      <c r="T152" s="352">
        <f>(1/12)*K146*(K145/10)^3</f>
        <v>0.34559999999999996</v>
      </c>
      <c r="U152" s="352"/>
    </row>
    <row r="153" spans="2:21">
      <c r="B153" s="218">
        <v>2</v>
      </c>
      <c r="C153" s="218"/>
      <c r="D153" s="218"/>
      <c r="E153" s="218">
        <f>C140</f>
        <v>27.5</v>
      </c>
      <c r="F153" s="218"/>
      <c r="G153" s="218"/>
      <c r="H153" s="352">
        <f>K143</f>
        <v>8.8000000000000007</v>
      </c>
      <c r="I153" s="218"/>
      <c r="J153" s="218"/>
      <c r="K153" s="352">
        <f>H153*E153</f>
        <v>242.00000000000003</v>
      </c>
      <c r="L153" s="352"/>
      <c r="M153" s="352"/>
      <c r="N153" s="352">
        <f>K144</f>
        <v>3.4</v>
      </c>
      <c r="O153" s="218"/>
      <c r="P153" s="218"/>
      <c r="Q153" s="445">
        <f>N153*E153</f>
        <v>93.5</v>
      </c>
      <c r="R153" s="445"/>
      <c r="S153" s="445"/>
      <c r="T153" s="218">
        <f>C141</f>
        <v>368</v>
      </c>
      <c r="U153" s="218"/>
    </row>
    <row r="154" spans="2:21">
      <c r="B154" s="218" t="s">
        <v>846</v>
      </c>
      <c r="C154" s="218"/>
      <c r="D154" s="218"/>
      <c r="E154" s="352">
        <f>SUM(E152:G153)</f>
        <v>39.019999999999996</v>
      </c>
      <c r="F154" s="218"/>
      <c r="G154" s="218"/>
      <c r="H154" s="218">
        <f t="shared" ref="H154" si="3">AVERAGE(H152:J153)</f>
        <v>4.5500000000000007</v>
      </c>
      <c r="I154" s="218"/>
      <c r="J154" s="218"/>
      <c r="K154" s="352">
        <f>SUM(K152:M153)</f>
        <v>245.45600000000002</v>
      </c>
      <c r="L154" s="218"/>
      <c r="M154" s="218"/>
      <c r="N154" s="218">
        <f>SUM(N152:P153)</f>
        <v>13</v>
      </c>
      <c r="O154" s="218"/>
      <c r="P154" s="218"/>
      <c r="Q154" s="445">
        <f>SUM(Q152:S153)</f>
        <v>204.09199999999998</v>
      </c>
      <c r="R154" s="445"/>
      <c r="S154" s="445"/>
      <c r="T154" s="352">
        <f>SUM(T152:U153)</f>
        <v>368.34559999999999</v>
      </c>
      <c r="U154" s="218"/>
    </row>
    <row r="156" spans="2:21">
      <c r="E156" t="s">
        <v>847</v>
      </c>
      <c r="I156" s="373">
        <f>K154/E154</f>
        <v>6.2905176832393659</v>
      </c>
      <c r="J156" s="373"/>
      <c r="K156" t="str">
        <f>E139</f>
        <v>cm</v>
      </c>
    </row>
    <row r="157" spans="2:21" ht="15">
      <c r="M157" s="30" t="s">
        <v>850</v>
      </c>
      <c r="N157" s="381">
        <f>I160-(K145/10)</f>
        <v>5.6905176832393662</v>
      </c>
      <c r="O157" s="381"/>
      <c r="P157" t="s">
        <v>827</v>
      </c>
    </row>
    <row r="158" spans="2:21" ht="15">
      <c r="E158" t="s">
        <v>848</v>
      </c>
      <c r="I158" s="381">
        <f>Q154/E154</f>
        <v>5.2304459251665811</v>
      </c>
      <c r="J158" s="381"/>
      <c r="K158" t="str">
        <f>K156</f>
        <v>cm</v>
      </c>
      <c r="M158" s="30" t="s">
        <v>851</v>
      </c>
      <c r="N158" s="373">
        <f>I160+K143</f>
        <v>15.090517683239366</v>
      </c>
      <c r="O158" s="353"/>
      <c r="P158" t="s">
        <v>827</v>
      </c>
    </row>
    <row r="160" spans="2:21">
      <c r="E160" t="s">
        <v>849</v>
      </c>
      <c r="I160" s="373">
        <f>MAX(I156,I158)</f>
        <v>6.2905176832393659</v>
      </c>
      <c r="J160" s="353"/>
      <c r="K160" t="str">
        <f>K158</f>
        <v>cm</v>
      </c>
    </row>
    <row r="162" spans="5:12" ht="18">
      <c r="E162" t="s">
        <v>856</v>
      </c>
      <c r="I162" s="381">
        <f>(T152+(E152*N157))+(T153+(E153*N158))</f>
        <v>848.88960000000009</v>
      </c>
      <c r="J162" s="381"/>
      <c r="K162" s="67" t="s">
        <v>857</v>
      </c>
    </row>
    <row r="163" spans="5:12">
      <c r="E163" t="s">
        <v>852</v>
      </c>
    </row>
    <row r="164" spans="5:12">
      <c r="E164" t="s">
        <v>853</v>
      </c>
    </row>
    <row r="165" spans="5:12">
      <c r="E165" t="s">
        <v>858</v>
      </c>
      <c r="F165">
        <v>1</v>
      </c>
    </row>
    <row r="167" spans="5:12" ht="17.25">
      <c r="E167" s="136" t="s">
        <v>854</v>
      </c>
      <c r="G167" t="s">
        <v>523</v>
      </c>
      <c r="H167" s="13">
        <f>I162/I160*F165</f>
        <v>134.94749442669968</v>
      </c>
      <c r="I167" t="s">
        <v>855</v>
      </c>
      <c r="J167" s="65" t="s">
        <v>522</v>
      </c>
      <c r="K167" s="276" t="str">
        <f>IF(H167&gt;C120,"Satisfactory.","not Satisfactory !!!")</f>
        <v>Satisfactory.</v>
      </c>
      <c r="L167" s="276"/>
    </row>
    <row r="190" spans="6:6" ht="399">
      <c r="F190" s="155" t="s">
        <v>886</v>
      </c>
    </row>
  </sheetData>
  <mergeCells count="178">
    <mergeCell ref="R88:U89"/>
    <mergeCell ref="B86:E87"/>
    <mergeCell ref="R92:U93"/>
    <mergeCell ref="R90:U91"/>
    <mergeCell ref="R82:U83"/>
    <mergeCell ref="R84:U85"/>
    <mergeCell ref="B88:E89"/>
    <mergeCell ref="F86:I87"/>
    <mergeCell ref="J86:M87"/>
    <mergeCell ref="N86:Q87"/>
    <mergeCell ref="R86:U87"/>
    <mergeCell ref="B82:E83"/>
    <mergeCell ref="B84:E85"/>
    <mergeCell ref="J88:M89"/>
    <mergeCell ref="N88:Q89"/>
    <mergeCell ref="B90:E91"/>
    <mergeCell ref="F90:I91"/>
    <mergeCell ref="J90:M91"/>
    <mergeCell ref="N90:Q91"/>
    <mergeCell ref="B10:G11"/>
    <mergeCell ref="B12:T13"/>
    <mergeCell ref="B14:U21"/>
    <mergeCell ref="A45:E50"/>
    <mergeCell ref="R45:V50"/>
    <mergeCell ref="F50:Q50"/>
    <mergeCell ref="H22:J22"/>
    <mergeCell ref="F82:I83"/>
    <mergeCell ref="F84:I85"/>
    <mergeCell ref="J82:M83"/>
    <mergeCell ref="J84:M85"/>
    <mergeCell ref="L57:N57"/>
    <mergeCell ref="L58:N58"/>
    <mergeCell ref="F80:I81"/>
    <mergeCell ref="J80:M81"/>
    <mergeCell ref="N80:Q81"/>
    <mergeCell ref="L59:N60"/>
    <mergeCell ref="J63:K63"/>
    <mergeCell ref="L63:N63"/>
    <mergeCell ref="J61:K62"/>
    <mergeCell ref="L61:N62"/>
    <mergeCell ref="J57:K57"/>
    <mergeCell ref="J58:K58"/>
    <mergeCell ref="F45:Q49"/>
    <mergeCell ref="A51:E51"/>
    <mergeCell ref="G51:H51"/>
    <mergeCell ref="I51:J51"/>
    <mergeCell ref="K51:L51"/>
    <mergeCell ref="U51:V52"/>
    <mergeCell ref="N51:O51"/>
    <mergeCell ref="A52:E52"/>
    <mergeCell ref="G52:H52"/>
    <mergeCell ref="R51:R52"/>
    <mergeCell ref="S51:S52"/>
    <mergeCell ref="I52:J52"/>
    <mergeCell ref="K52:L52"/>
    <mergeCell ref="N52:O52"/>
    <mergeCell ref="T51:T52"/>
    <mergeCell ref="AB22:AE30"/>
    <mergeCell ref="B22:G22"/>
    <mergeCell ref="B23:G23"/>
    <mergeCell ref="B24:G24"/>
    <mergeCell ref="B25:G25"/>
    <mergeCell ref="B26:G26"/>
    <mergeCell ref="H23:I23"/>
    <mergeCell ref="H24:I24"/>
    <mergeCell ref="H25:I25"/>
    <mergeCell ref="H26:I26"/>
    <mergeCell ref="B27:C27"/>
    <mergeCell ref="D27:G27"/>
    <mergeCell ref="I27:S27"/>
    <mergeCell ref="F1:Q5"/>
    <mergeCell ref="A7:E7"/>
    <mergeCell ref="G7:H7"/>
    <mergeCell ref="I7:J7"/>
    <mergeCell ref="K7:L7"/>
    <mergeCell ref="N7:O7"/>
    <mergeCell ref="R7:R8"/>
    <mergeCell ref="S7:S8"/>
    <mergeCell ref="U7:V8"/>
    <mergeCell ref="A8:E8"/>
    <mergeCell ref="G8:H8"/>
    <mergeCell ref="I8:J8"/>
    <mergeCell ref="K8:L8"/>
    <mergeCell ref="N8:O8"/>
    <mergeCell ref="F6:Q6"/>
    <mergeCell ref="T7:T8"/>
    <mergeCell ref="A1:E6"/>
    <mergeCell ref="R1:V6"/>
    <mergeCell ref="A105:E110"/>
    <mergeCell ref="F105:Q109"/>
    <mergeCell ref="R105:V110"/>
    <mergeCell ref="F110:Q110"/>
    <mergeCell ref="B97:U98"/>
    <mergeCell ref="B80:E81"/>
    <mergeCell ref="B95:U96"/>
    <mergeCell ref="B54:U55"/>
    <mergeCell ref="B56:I57"/>
    <mergeCell ref="R80:U81"/>
    <mergeCell ref="B78:E79"/>
    <mergeCell ref="F78:I79"/>
    <mergeCell ref="J78:M79"/>
    <mergeCell ref="N78:Q79"/>
    <mergeCell ref="R78:U79"/>
    <mergeCell ref="B94:U94"/>
    <mergeCell ref="B58:I61"/>
    <mergeCell ref="J59:K60"/>
    <mergeCell ref="J56:K56"/>
    <mergeCell ref="L56:N56"/>
    <mergeCell ref="B92:Q93"/>
    <mergeCell ref="N82:Q83"/>
    <mergeCell ref="N84:Q85"/>
    <mergeCell ref="F88:I89"/>
    <mergeCell ref="A111:E111"/>
    <mergeCell ref="G111:H111"/>
    <mergeCell ref="I111:J111"/>
    <mergeCell ref="K111:L111"/>
    <mergeCell ref="N111:O111"/>
    <mergeCell ref="R111:R112"/>
    <mergeCell ref="S111:S112"/>
    <mergeCell ref="T111:T112"/>
    <mergeCell ref="U111:V112"/>
    <mergeCell ref="A112:E112"/>
    <mergeCell ref="G112:H112"/>
    <mergeCell ref="I112:J112"/>
    <mergeCell ref="K112:L112"/>
    <mergeCell ref="N112:O112"/>
    <mergeCell ref="C120:D120"/>
    <mergeCell ref="C122:D122"/>
    <mergeCell ref="C124:D124"/>
    <mergeCell ref="C126:D126"/>
    <mergeCell ref="C128:D128"/>
    <mergeCell ref="C130:D130"/>
    <mergeCell ref="C134:D134"/>
    <mergeCell ref="K136:M136"/>
    <mergeCell ref="C137:D137"/>
    <mergeCell ref="B151:D151"/>
    <mergeCell ref="E151:G151"/>
    <mergeCell ref="H151:J151"/>
    <mergeCell ref="K151:M151"/>
    <mergeCell ref="N151:P151"/>
    <mergeCell ref="Q151:S151"/>
    <mergeCell ref="T151:U151"/>
    <mergeCell ref="C138:D138"/>
    <mergeCell ref="C139:D139"/>
    <mergeCell ref="C140:D140"/>
    <mergeCell ref="C141:D141"/>
    <mergeCell ref="K144:L144"/>
    <mergeCell ref="K143:L143"/>
    <mergeCell ref="K145:L145"/>
    <mergeCell ref="K146:L146"/>
    <mergeCell ref="Q154:S154"/>
    <mergeCell ref="T154:U154"/>
    <mergeCell ref="I156:J156"/>
    <mergeCell ref="I158:J158"/>
    <mergeCell ref="B152:D152"/>
    <mergeCell ref="E152:G152"/>
    <mergeCell ref="H152:J152"/>
    <mergeCell ref="K152:M152"/>
    <mergeCell ref="N152:P152"/>
    <mergeCell ref="Q152:S152"/>
    <mergeCell ref="T152:U152"/>
    <mergeCell ref="B153:D153"/>
    <mergeCell ref="E153:G153"/>
    <mergeCell ref="H153:J153"/>
    <mergeCell ref="K153:M153"/>
    <mergeCell ref="N153:P153"/>
    <mergeCell ref="Q153:S153"/>
    <mergeCell ref="T153:U153"/>
    <mergeCell ref="I160:J160"/>
    <mergeCell ref="N157:O157"/>
    <mergeCell ref="N158:O158"/>
    <mergeCell ref="I162:J162"/>
    <mergeCell ref="K167:L167"/>
    <mergeCell ref="B154:D154"/>
    <mergeCell ref="E154:G154"/>
    <mergeCell ref="H154:J154"/>
    <mergeCell ref="K154:M154"/>
    <mergeCell ref="N154:P154"/>
  </mergeCells>
  <phoneticPr fontId="43" type="noConversion"/>
  <conditionalFormatting sqref="B97">
    <cfRule type="containsText" dxfId="67" priority="0" operator="containsText" text="So intermediate wind girder is  required.">
      <formula>NOT(ISERROR(SEARCH("So intermediate wind girder is  required.",B97)))</formula>
    </cfRule>
    <cfRule type="containsText" dxfId="66" priority="21" operator="containsText" text="So intermediate wind girder is not required.">
      <formula>NOT(ISERROR(SEARCH("So intermediate wind girder is not required.",B97)))</formula>
    </cfRule>
    <cfRule type="containsText" dxfId="65" priority="22" operator="containsText" text="So intermediate wind girder is not required.">
      <formula>NOT(ISERROR(SEARCH("So intermediate wind girder is not required.",B97)))</formula>
    </cfRule>
    <cfRule type="containsText" dxfId="64" priority="23" operator="containsText" text="So intermediate wind girder is not required.">
      <formula>NOT(ISERROR(SEARCH("So intermediate wind girder is not required.",B97)))</formula>
    </cfRule>
    <cfRule type="containsText" dxfId="63" priority="24" operator="containsText" text="So intermediate wind girder is  required.">
      <formula>NOT(ISERROR(SEARCH("So intermediate wind girder is  required.",B97)))</formula>
    </cfRule>
  </conditionalFormatting>
  <conditionalFormatting sqref="K167">
    <cfRule type="containsText" dxfId="62" priority="1" operator="containsText" text="Satisfactory.">
      <formula>NOT(ISERROR(SEARCH("Satisfactory.",K167)))</formula>
    </cfRule>
  </conditionalFormatting>
  <conditionalFormatting sqref="U27">
    <cfRule type="containsText" dxfId="61" priority="9" operator="containsText" text="fail">
      <formula>NOT(ISERROR(SEARCH("fail",U27)))</formula>
    </cfRule>
    <cfRule type="containsText" dxfId="60" priority="10" operator="containsText" text="pass">
      <formula>NOT(ISERROR(SEARCH("pass",U27)))</formula>
    </cfRule>
  </conditionalFormatting>
  <printOptions horizontalCentered="1"/>
  <pageMargins left="0.118110236220472" right="0.118110236220472" top="0.196850393700787" bottom="0" header="0.118110236220472" footer="0.118110236220472"/>
  <pageSetup paperSize="9" scale="70" orientation="portrait" r:id="rId1"/>
  <rowBreaks count="2" manualBreakCount="2">
    <brk id="44" max="21" man="1"/>
    <brk id="104"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V190"/>
  <sheetViews>
    <sheetView view="pageBreakPreview" topLeftCell="A52" zoomScaleNormal="100" zoomScaleSheetLayoutView="100" workbookViewId="0">
      <selection activeCell="F190" sqref="F190:Q194"/>
    </sheetView>
  </sheetViews>
  <sheetFormatPr defaultRowHeight="14.25"/>
  <cols>
    <col min="1" max="19" width="5.75" customWidth="1"/>
    <col min="20" max="20" width="10.25" customWidth="1"/>
    <col min="21" max="22" width="5.75" customWidth="1"/>
  </cols>
  <sheetData>
    <row r="1" spans="1:22" ht="15" customHeight="1">
      <c r="A1" s="229"/>
      <c r="B1" s="230"/>
      <c r="C1" s="230"/>
      <c r="D1" s="230"/>
      <c r="E1" s="231"/>
      <c r="F1" s="158" t="s">
        <v>886</v>
      </c>
      <c r="G1" s="159"/>
      <c r="H1" s="159"/>
      <c r="I1" s="159"/>
      <c r="J1" s="159"/>
      <c r="K1" s="159"/>
      <c r="L1" s="159"/>
      <c r="M1" s="159"/>
      <c r="N1" s="159"/>
      <c r="O1" s="159"/>
      <c r="P1" s="159"/>
      <c r="Q1" s="160"/>
      <c r="R1" s="238"/>
      <c r="S1" s="238"/>
      <c r="T1" s="238"/>
      <c r="U1" s="238"/>
      <c r="V1" s="239"/>
    </row>
    <row r="2" spans="1:22">
      <c r="A2" s="232"/>
      <c r="B2" s="233"/>
      <c r="C2" s="233"/>
      <c r="D2" s="233"/>
      <c r="E2" s="234"/>
      <c r="F2" s="161"/>
      <c r="G2" s="162"/>
      <c r="H2" s="162"/>
      <c r="I2" s="162"/>
      <c r="J2" s="162"/>
      <c r="K2" s="162"/>
      <c r="L2" s="162"/>
      <c r="M2" s="162"/>
      <c r="N2" s="162"/>
      <c r="O2" s="162"/>
      <c r="P2" s="162"/>
      <c r="Q2" s="163"/>
      <c r="R2" s="177"/>
      <c r="S2" s="177"/>
      <c r="T2" s="177"/>
      <c r="U2" s="177"/>
      <c r="V2" s="240"/>
    </row>
    <row r="3" spans="1:22">
      <c r="A3" s="232"/>
      <c r="B3" s="233"/>
      <c r="C3" s="233"/>
      <c r="D3" s="233"/>
      <c r="E3" s="234"/>
      <c r="F3" s="161"/>
      <c r="G3" s="162"/>
      <c r="H3" s="162"/>
      <c r="I3" s="162"/>
      <c r="J3" s="162"/>
      <c r="K3" s="162"/>
      <c r="L3" s="162"/>
      <c r="M3" s="162"/>
      <c r="N3" s="162"/>
      <c r="O3" s="162"/>
      <c r="P3" s="162"/>
      <c r="Q3" s="163"/>
      <c r="R3" s="177"/>
      <c r="S3" s="177"/>
      <c r="T3" s="177"/>
      <c r="U3" s="177"/>
      <c r="V3" s="240"/>
    </row>
    <row r="4" spans="1:22">
      <c r="A4" s="232"/>
      <c r="B4" s="233"/>
      <c r="C4" s="233"/>
      <c r="D4" s="233"/>
      <c r="E4" s="234"/>
      <c r="F4" s="161"/>
      <c r="G4" s="162"/>
      <c r="H4" s="162"/>
      <c r="I4" s="162"/>
      <c r="J4" s="162"/>
      <c r="K4" s="162"/>
      <c r="L4" s="162"/>
      <c r="M4" s="162"/>
      <c r="N4" s="162"/>
      <c r="O4" s="162"/>
      <c r="P4" s="162"/>
      <c r="Q4" s="163"/>
      <c r="R4" s="177"/>
      <c r="S4" s="177"/>
      <c r="T4" s="177"/>
      <c r="U4" s="177"/>
      <c r="V4" s="240"/>
    </row>
    <row r="5" spans="1:22">
      <c r="A5" s="232"/>
      <c r="B5" s="233"/>
      <c r="C5" s="233"/>
      <c r="D5" s="233"/>
      <c r="E5" s="234"/>
      <c r="F5" s="164"/>
      <c r="G5" s="165"/>
      <c r="H5" s="165"/>
      <c r="I5" s="165"/>
      <c r="J5" s="165"/>
      <c r="K5" s="165"/>
      <c r="L5" s="165"/>
      <c r="M5" s="165"/>
      <c r="N5" s="165"/>
      <c r="O5" s="165"/>
      <c r="P5" s="165"/>
      <c r="Q5" s="166"/>
      <c r="R5" s="177"/>
      <c r="S5" s="177"/>
      <c r="T5" s="177"/>
      <c r="U5" s="177"/>
      <c r="V5" s="240"/>
    </row>
    <row r="6" spans="1:22" ht="23.45" customHeight="1">
      <c r="A6" s="235"/>
      <c r="B6" s="236"/>
      <c r="C6" s="236"/>
      <c r="D6" s="236"/>
      <c r="E6" s="237"/>
      <c r="F6" s="265" t="s">
        <v>899</v>
      </c>
      <c r="G6" s="266"/>
      <c r="H6" s="266"/>
      <c r="I6" s="266"/>
      <c r="J6" s="266"/>
      <c r="K6" s="266"/>
      <c r="L6" s="266"/>
      <c r="M6" s="266"/>
      <c r="N6" s="266"/>
      <c r="O6" s="266"/>
      <c r="P6" s="266"/>
      <c r="Q6" s="267"/>
      <c r="R6" s="177"/>
      <c r="S6" s="177"/>
      <c r="T6" s="177"/>
      <c r="U6" s="177"/>
      <c r="V6" s="240"/>
    </row>
    <row r="7" spans="1:22" ht="25.15" customHeight="1">
      <c r="A7" s="167" t="s">
        <v>743</v>
      </c>
      <c r="B7" s="168"/>
      <c r="C7" s="168"/>
      <c r="D7" s="168"/>
      <c r="E7" s="169"/>
      <c r="F7" s="125" t="s">
        <v>744</v>
      </c>
      <c r="G7" s="170" t="s">
        <v>745</v>
      </c>
      <c r="H7" s="171"/>
      <c r="I7" s="170" t="s">
        <v>746</v>
      </c>
      <c r="J7" s="171"/>
      <c r="K7" s="170" t="s">
        <v>747</v>
      </c>
      <c r="L7" s="171"/>
      <c r="M7" s="125" t="s">
        <v>748</v>
      </c>
      <c r="N7" s="170" t="s">
        <v>749</v>
      </c>
      <c r="O7" s="171"/>
      <c r="P7" s="125" t="s">
        <v>750</v>
      </c>
      <c r="Q7" s="126" t="s">
        <v>751</v>
      </c>
      <c r="R7" s="172">
        <f>'Top Angle &amp; Intermediate wind g'!R111</f>
        <v>29</v>
      </c>
      <c r="S7" s="174" t="s">
        <v>752</v>
      </c>
      <c r="T7" s="263">
        <f>'Top Angle &amp; Intermediate wind g'!T111+1</f>
        <v>14</v>
      </c>
      <c r="U7" s="168" t="s">
        <v>753</v>
      </c>
      <c r="V7" s="188"/>
    </row>
    <row r="8" spans="1:22" ht="21.6" customHeight="1" thickBot="1">
      <c r="A8" s="191" t="s">
        <v>754</v>
      </c>
      <c r="B8" s="175"/>
      <c r="C8" s="175"/>
      <c r="D8" s="175"/>
      <c r="E8" s="192"/>
      <c r="F8" s="132" t="s">
        <v>755</v>
      </c>
      <c r="G8" s="193" t="s">
        <v>756</v>
      </c>
      <c r="H8" s="193"/>
      <c r="I8" s="193" t="s">
        <v>878</v>
      </c>
      <c r="J8" s="193"/>
      <c r="K8" s="193">
        <v>120</v>
      </c>
      <c r="L8" s="193"/>
      <c r="M8" s="132" t="s">
        <v>757</v>
      </c>
      <c r="N8" s="193" t="s">
        <v>879</v>
      </c>
      <c r="O8" s="193"/>
      <c r="P8" s="142" t="s">
        <v>881</v>
      </c>
      <c r="Q8" s="133" t="str">
        <f>'Top Angle &amp; Intermediate wind g'!Q112</f>
        <v>V01</v>
      </c>
      <c r="R8" s="173"/>
      <c r="S8" s="175"/>
      <c r="T8" s="264"/>
      <c r="U8" s="189"/>
      <c r="V8" s="190"/>
    </row>
    <row r="9" spans="1:22" ht="15" customHeight="1">
      <c r="A9" s="30"/>
      <c r="B9" s="460" t="s">
        <v>90</v>
      </c>
      <c r="C9" s="460"/>
      <c r="D9" s="460"/>
      <c r="E9" s="460"/>
      <c r="F9" s="460"/>
      <c r="G9" s="460"/>
      <c r="H9" s="460"/>
      <c r="I9" s="460"/>
      <c r="J9" s="460"/>
      <c r="K9" s="460"/>
      <c r="L9" s="460"/>
      <c r="M9" s="460"/>
      <c r="N9" s="30"/>
      <c r="O9" s="30"/>
      <c r="P9" s="30"/>
      <c r="Q9" s="30"/>
      <c r="R9" s="30"/>
      <c r="S9" s="30"/>
      <c r="T9" s="30"/>
      <c r="U9" s="30"/>
    </row>
    <row r="10" spans="1:22" ht="15">
      <c r="A10" s="30"/>
      <c r="B10" s="460"/>
      <c r="C10" s="460"/>
      <c r="D10" s="460"/>
      <c r="E10" s="460"/>
      <c r="F10" s="460"/>
      <c r="G10" s="460"/>
      <c r="H10" s="460"/>
      <c r="I10" s="460"/>
      <c r="J10" s="460"/>
      <c r="K10" s="460"/>
      <c r="L10" s="460"/>
      <c r="M10" s="460"/>
      <c r="N10" s="30"/>
      <c r="O10" s="30"/>
      <c r="P10" s="30"/>
      <c r="Q10" s="30"/>
      <c r="R10" s="30"/>
      <c r="S10" s="30"/>
      <c r="T10" s="30"/>
      <c r="U10" s="30"/>
    </row>
    <row r="11" spans="1:22" ht="15">
      <c r="A11" s="30"/>
      <c r="B11" s="460"/>
      <c r="C11" s="460"/>
      <c r="D11" s="460"/>
      <c r="E11" s="460"/>
      <c r="F11" s="460"/>
      <c r="G11" s="460"/>
      <c r="H11" s="460"/>
      <c r="I11" s="460"/>
      <c r="J11" s="460"/>
      <c r="K11" s="460"/>
      <c r="L11" s="460"/>
      <c r="M11" s="460"/>
      <c r="N11" s="30"/>
      <c r="O11" s="30"/>
      <c r="P11" s="30"/>
      <c r="Q11" s="30"/>
      <c r="R11" s="30"/>
      <c r="S11" s="30"/>
      <c r="T11" s="30"/>
      <c r="U11" s="30"/>
    </row>
    <row r="12" spans="1:22" ht="15">
      <c r="A12" s="30"/>
      <c r="B12" s="387" t="s">
        <v>89</v>
      </c>
      <c r="C12" s="387"/>
      <c r="D12" s="387"/>
      <c r="E12" s="387"/>
      <c r="F12" s="387"/>
      <c r="G12" s="387"/>
      <c r="H12" s="387"/>
      <c r="I12" s="387"/>
      <c r="J12" s="387"/>
      <c r="K12" s="387"/>
      <c r="L12" s="387"/>
      <c r="M12" s="387"/>
      <c r="N12" s="387"/>
      <c r="O12" s="387"/>
      <c r="P12" s="387"/>
      <c r="Q12" s="387"/>
      <c r="R12" s="387"/>
      <c r="S12" s="387"/>
      <c r="T12" s="387"/>
      <c r="U12" s="387"/>
    </row>
    <row r="13" spans="1:22" ht="15">
      <c r="A13" s="30"/>
      <c r="B13" s="387"/>
      <c r="C13" s="387"/>
      <c r="D13" s="387"/>
      <c r="E13" s="387"/>
      <c r="F13" s="387"/>
      <c r="G13" s="387"/>
      <c r="H13" s="387"/>
      <c r="I13" s="387"/>
      <c r="J13" s="387"/>
      <c r="K13" s="387"/>
      <c r="L13" s="387"/>
      <c r="M13" s="387"/>
      <c r="N13" s="387"/>
      <c r="O13" s="387"/>
      <c r="P13" s="387"/>
      <c r="Q13" s="387"/>
      <c r="R13" s="387"/>
      <c r="S13" s="387"/>
      <c r="T13" s="387"/>
      <c r="U13" s="387"/>
    </row>
    <row r="14" spans="1:22" ht="15">
      <c r="A14" s="30"/>
      <c r="B14" s="387"/>
      <c r="C14" s="387"/>
      <c r="D14" s="387"/>
      <c r="E14" s="387"/>
      <c r="F14" s="387"/>
      <c r="G14" s="387"/>
      <c r="H14" s="387"/>
      <c r="I14" s="387"/>
      <c r="J14" s="387"/>
      <c r="K14" s="387"/>
      <c r="L14" s="387"/>
      <c r="M14" s="387"/>
      <c r="N14" s="387"/>
      <c r="O14" s="387"/>
      <c r="P14" s="387"/>
      <c r="Q14" s="387"/>
      <c r="R14" s="387"/>
      <c r="S14" s="387"/>
      <c r="T14" s="387"/>
      <c r="U14" s="387"/>
    </row>
    <row r="15" spans="1:22" ht="15">
      <c r="A15" s="30"/>
      <c r="B15" s="382"/>
      <c r="C15" s="382"/>
      <c r="D15" s="382"/>
      <c r="E15" s="382"/>
      <c r="F15" s="382"/>
      <c r="G15" s="382"/>
      <c r="H15" s="382"/>
      <c r="I15" s="382"/>
      <c r="J15" s="382"/>
      <c r="K15" s="382"/>
      <c r="L15" s="382"/>
      <c r="M15" s="382"/>
      <c r="N15" s="382"/>
      <c r="O15" s="382"/>
      <c r="P15" s="382"/>
      <c r="Q15" s="382"/>
      <c r="R15" s="382"/>
      <c r="S15" s="382"/>
      <c r="T15" s="382"/>
      <c r="U15" s="382"/>
    </row>
    <row r="16" spans="1:22" ht="409.5">
      <c r="A16" s="157" t="s">
        <v>901</v>
      </c>
      <c r="B16" s="382"/>
      <c r="C16" s="382"/>
      <c r="D16" s="382"/>
      <c r="E16" s="382"/>
      <c r="F16" s="382"/>
      <c r="G16" s="382"/>
      <c r="H16" s="382"/>
      <c r="I16" s="382"/>
      <c r="J16" s="382"/>
      <c r="K16" s="382"/>
      <c r="L16" s="382"/>
      <c r="M16" s="382"/>
      <c r="N16" s="382"/>
      <c r="O16" s="382"/>
      <c r="P16" s="382"/>
      <c r="Q16" s="382"/>
      <c r="R16" s="382"/>
      <c r="S16" s="382"/>
      <c r="T16" s="382"/>
      <c r="U16" s="382"/>
    </row>
    <row r="17" spans="1:21" ht="15">
      <c r="A17" s="30"/>
      <c r="B17" s="382"/>
      <c r="C17" s="382"/>
      <c r="D17" s="382"/>
      <c r="E17" s="382"/>
      <c r="F17" s="382"/>
      <c r="G17" s="382"/>
      <c r="H17" s="382"/>
      <c r="I17" s="382"/>
      <c r="J17" s="382"/>
      <c r="K17" s="382"/>
      <c r="L17" s="382"/>
      <c r="M17" s="382"/>
      <c r="N17" s="382"/>
      <c r="O17" s="382"/>
      <c r="P17" s="382"/>
      <c r="Q17" s="382"/>
      <c r="R17" s="382"/>
      <c r="S17" s="382"/>
      <c r="T17" s="382"/>
      <c r="U17" s="382"/>
    </row>
    <row r="18" spans="1:21" ht="15">
      <c r="A18" s="30"/>
      <c r="B18" s="382"/>
      <c r="C18" s="382"/>
      <c r="D18" s="382"/>
      <c r="E18" s="382"/>
      <c r="F18" s="382"/>
      <c r="G18" s="382"/>
      <c r="H18" s="382"/>
      <c r="I18" s="382"/>
      <c r="J18" s="382"/>
      <c r="K18" s="382"/>
      <c r="L18" s="382"/>
      <c r="M18" s="382"/>
      <c r="N18" s="382"/>
      <c r="O18" s="382"/>
      <c r="P18" s="382"/>
      <c r="Q18" s="382"/>
      <c r="R18" s="382"/>
      <c r="S18" s="382"/>
      <c r="T18" s="382"/>
      <c r="U18" s="382"/>
    </row>
    <row r="19" spans="1:21" ht="15">
      <c r="A19" s="30"/>
      <c r="B19" s="382"/>
      <c r="C19" s="382"/>
      <c r="D19" s="382"/>
      <c r="E19" s="382"/>
      <c r="F19" s="382"/>
      <c r="G19" s="382"/>
      <c r="H19" s="382"/>
      <c r="I19" s="382"/>
      <c r="J19" s="382"/>
      <c r="K19" s="382"/>
      <c r="L19" s="382"/>
      <c r="M19" s="382"/>
      <c r="N19" s="382"/>
      <c r="O19" s="382"/>
      <c r="P19" s="382"/>
      <c r="Q19" s="382"/>
      <c r="R19" s="382"/>
      <c r="S19" s="382"/>
      <c r="T19" s="382"/>
      <c r="U19" s="382"/>
    </row>
    <row r="20" spans="1:21" ht="15">
      <c r="A20" s="30"/>
      <c r="B20" s="382"/>
      <c r="C20" s="382"/>
      <c r="D20" s="382"/>
      <c r="E20" s="382"/>
      <c r="F20" s="382"/>
      <c r="G20" s="382"/>
      <c r="H20" s="382"/>
      <c r="I20" s="382"/>
      <c r="J20" s="382"/>
      <c r="K20" s="382"/>
      <c r="L20" s="382"/>
      <c r="M20" s="382"/>
      <c r="N20" s="382"/>
      <c r="O20" s="382"/>
      <c r="P20" s="382"/>
      <c r="Q20" s="382"/>
      <c r="R20" s="382"/>
      <c r="S20" s="382"/>
      <c r="T20" s="382"/>
      <c r="U20" s="382"/>
    </row>
    <row r="21" spans="1:21" ht="15">
      <c r="A21" s="30"/>
      <c r="B21" s="382"/>
      <c r="C21" s="382"/>
      <c r="D21" s="382"/>
      <c r="E21" s="382"/>
      <c r="F21" s="382"/>
      <c r="G21" s="382"/>
      <c r="H21" s="382"/>
      <c r="I21" s="382"/>
      <c r="J21" s="382"/>
      <c r="K21" s="382"/>
      <c r="L21" s="382"/>
      <c r="M21" s="382"/>
      <c r="N21" s="382"/>
      <c r="O21" s="382"/>
      <c r="P21" s="382"/>
      <c r="Q21" s="382"/>
      <c r="R21" s="382"/>
      <c r="S21" s="382"/>
      <c r="T21" s="382"/>
      <c r="U21" s="382"/>
    </row>
    <row r="22" spans="1:21" ht="15">
      <c r="A22" s="30"/>
      <c r="B22" s="382"/>
      <c r="C22" s="382"/>
      <c r="D22" s="382"/>
      <c r="E22" s="382"/>
      <c r="F22" s="382"/>
      <c r="G22" s="382"/>
      <c r="H22" s="382"/>
      <c r="I22" s="382"/>
      <c r="J22" s="382"/>
      <c r="K22" s="382"/>
      <c r="L22" s="382"/>
      <c r="M22" s="382"/>
      <c r="N22" s="382"/>
      <c r="O22" s="382"/>
      <c r="P22" s="382"/>
      <c r="Q22" s="382"/>
      <c r="R22" s="382"/>
      <c r="S22" s="382"/>
      <c r="T22" s="382"/>
      <c r="U22" s="382"/>
    </row>
    <row r="23" spans="1:21" ht="15">
      <c r="A23" s="30"/>
      <c r="B23" s="382"/>
      <c r="C23" s="382"/>
      <c r="D23" s="382"/>
      <c r="E23" s="382"/>
      <c r="F23" s="382"/>
      <c r="G23" s="382"/>
      <c r="H23" s="382"/>
      <c r="I23" s="382"/>
      <c r="J23" s="382"/>
      <c r="K23" s="382"/>
      <c r="L23" s="382"/>
      <c r="M23" s="382"/>
      <c r="N23" s="382"/>
      <c r="O23" s="382"/>
      <c r="P23" s="382"/>
      <c r="Q23" s="382"/>
      <c r="R23" s="382"/>
      <c r="S23" s="382"/>
      <c r="T23" s="382"/>
      <c r="U23" s="382"/>
    </row>
    <row r="24" spans="1:21" ht="15">
      <c r="A24" s="30"/>
      <c r="B24" s="382"/>
      <c r="C24" s="382"/>
      <c r="D24" s="382"/>
      <c r="E24" s="382"/>
      <c r="F24" s="382"/>
      <c r="G24" s="382"/>
      <c r="H24" s="382"/>
      <c r="I24" s="382"/>
      <c r="J24" s="382"/>
      <c r="K24" s="382"/>
      <c r="L24" s="382"/>
      <c r="M24" s="382"/>
      <c r="N24" s="382"/>
      <c r="O24" s="382"/>
      <c r="P24" s="382"/>
      <c r="Q24" s="382"/>
      <c r="R24" s="382"/>
      <c r="S24" s="382"/>
      <c r="T24" s="382"/>
      <c r="U24" s="382"/>
    </row>
    <row r="25" spans="1:21" ht="15">
      <c r="A25" s="30"/>
      <c r="B25" s="382"/>
      <c r="C25" s="382"/>
      <c r="D25" s="382"/>
      <c r="E25" s="382"/>
      <c r="F25" s="382"/>
      <c r="G25" s="382"/>
      <c r="H25" s="382"/>
      <c r="I25" s="382"/>
      <c r="J25" s="382"/>
      <c r="K25" s="382"/>
      <c r="L25" s="382"/>
      <c r="M25" s="382"/>
      <c r="N25" s="382"/>
      <c r="O25" s="382"/>
      <c r="P25" s="382"/>
      <c r="Q25" s="382"/>
      <c r="R25" s="382"/>
      <c r="S25" s="382"/>
      <c r="T25" s="382"/>
      <c r="U25" s="382"/>
    </row>
    <row r="26" spans="1:21" ht="15">
      <c r="A26" s="30"/>
      <c r="B26" s="382"/>
      <c r="C26" s="382"/>
      <c r="D26" s="382"/>
      <c r="E26" s="382"/>
      <c r="F26" s="382"/>
      <c r="G26" s="382"/>
      <c r="H26" s="382"/>
      <c r="I26" s="382"/>
      <c r="J26" s="382"/>
      <c r="K26" s="382"/>
      <c r="L26" s="382"/>
      <c r="M26" s="382"/>
      <c r="N26" s="382"/>
      <c r="O26" s="382"/>
      <c r="P26" s="382"/>
      <c r="Q26" s="382"/>
      <c r="R26" s="382"/>
      <c r="S26" s="382"/>
      <c r="T26" s="382"/>
      <c r="U26" s="382"/>
    </row>
    <row r="27" spans="1:21" ht="15">
      <c r="A27" s="30"/>
      <c r="B27" s="382"/>
      <c r="C27" s="382"/>
      <c r="D27" s="382"/>
      <c r="E27" s="382"/>
      <c r="F27" s="382"/>
      <c r="G27" s="382"/>
      <c r="H27" s="382"/>
      <c r="I27" s="382"/>
      <c r="J27" s="382"/>
      <c r="K27" s="382"/>
      <c r="L27" s="382"/>
      <c r="M27" s="382"/>
      <c r="N27" s="382"/>
      <c r="O27" s="382"/>
      <c r="P27" s="382"/>
      <c r="Q27" s="382"/>
      <c r="R27" s="382"/>
      <c r="S27" s="382"/>
      <c r="T27" s="382"/>
      <c r="U27" s="382"/>
    </row>
    <row r="28" spans="1:21" ht="15">
      <c r="A28" s="30"/>
      <c r="B28" s="382"/>
      <c r="C28" s="382"/>
      <c r="D28" s="382"/>
      <c r="E28" s="382"/>
      <c r="F28" s="382"/>
      <c r="G28" s="382"/>
      <c r="H28" s="382"/>
      <c r="I28" s="382"/>
      <c r="J28" s="382"/>
      <c r="K28" s="382"/>
      <c r="L28" s="382"/>
      <c r="M28" s="382"/>
      <c r="N28" s="382"/>
      <c r="O28" s="382"/>
      <c r="P28" s="382"/>
      <c r="Q28" s="382"/>
      <c r="R28" s="382"/>
      <c r="S28" s="382"/>
      <c r="T28" s="382"/>
      <c r="U28" s="382"/>
    </row>
    <row r="29" spans="1:21" ht="15">
      <c r="A29" s="30"/>
      <c r="B29" s="382"/>
      <c r="C29" s="382"/>
      <c r="D29" s="382"/>
      <c r="E29" s="382"/>
      <c r="F29" s="382"/>
      <c r="G29" s="382"/>
      <c r="H29" s="382"/>
      <c r="I29" s="382"/>
      <c r="J29" s="382"/>
      <c r="K29" s="382"/>
      <c r="L29" s="382"/>
      <c r="M29" s="382"/>
      <c r="N29" s="382"/>
      <c r="O29" s="382"/>
      <c r="P29" s="382"/>
      <c r="Q29" s="382"/>
      <c r="R29" s="382"/>
      <c r="S29" s="382"/>
      <c r="T29" s="382"/>
      <c r="U29" s="382"/>
    </row>
    <row r="30" spans="1:21" ht="15">
      <c r="A30" s="30"/>
      <c r="B30" s="382"/>
      <c r="C30" s="382"/>
      <c r="D30" s="382"/>
      <c r="E30" s="382"/>
      <c r="F30" s="382"/>
      <c r="G30" s="382"/>
      <c r="H30" s="382"/>
      <c r="I30" s="382"/>
      <c r="J30" s="382"/>
      <c r="K30" s="382"/>
      <c r="L30" s="382"/>
      <c r="M30" s="382"/>
      <c r="N30" s="382"/>
      <c r="O30" s="382"/>
      <c r="P30" s="382"/>
      <c r="Q30" s="382"/>
      <c r="R30" s="382"/>
      <c r="S30" s="382"/>
      <c r="T30" s="382"/>
      <c r="U30" s="382"/>
    </row>
    <row r="31" spans="1:21" ht="15">
      <c r="A31" s="30"/>
      <c r="B31" s="382"/>
      <c r="C31" s="382"/>
      <c r="D31" s="382"/>
      <c r="E31" s="382"/>
      <c r="F31" s="382"/>
      <c r="G31" s="382"/>
      <c r="H31" s="382"/>
      <c r="I31" s="382"/>
      <c r="J31" s="382"/>
      <c r="K31" s="382"/>
      <c r="L31" s="382"/>
      <c r="M31" s="382"/>
      <c r="N31" s="382"/>
      <c r="O31" s="382"/>
      <c r="P31" s="382"/>
      <c r="Q31" s="382"/>
      <c r="R31" s="382"/>
      <c r="S31" s="382"/>
      <c r="T31" s="382"/>
      <c r="U31" s="382"/>
    </row>
    <row r="32" spans="1:21" ht="15">
      <c r="A32" s="30"/>
      <c r="B32" s="382"/>
      <c r="C32" s="382"/>
      <c r="D32" s="382"/>
      <c r="E32" s="382"/>
      <c r="F32" s="382"/>
      <c r="G32" s="382"/>
      <c r="H32" s="382"/>
      <c r="I32" s="382"/>
      <c r="J32" s="382"/>
      <c r="K32" s="382"/>
      <c r="L32" s="382"/>
      <c r="M32" s="382"/>
      <c r="N32" s="382"/>
      <c r="O32" s="382"/>
      <c r="P32" s="382"/>
      <c r="Q32" s="382"/>
      <c r="R32" s="382"/>
      <c r="S32" s="382"/>
      <c r="T32" s="382"/>
      <c r="U32" s="382"/>
    </row>
    <row r="33" spans="1:22" ht="15">
      <c r="A33" s="30"/>
      <c r="B33" s="382"/>
      <c r="C33" s="382"/>
      <c r="D33" s="382"/>
      <c r="E33" s="382"/>
      <c r="F33" s="382"/>
      <c r="G33" s="382"/>
      <c r="H33" s="382"/>
      <c r="I33" s="382"/>
      <c r="J33" s="382"/>
      <c r="K33" s="382"/>
      <c r="L33" s="382"/>
      <c r="M33" s="382"/>
      <c r="N33" s="382"/>
      <c r="O33" s="382"/>
      <c r="P33" s="382"/>
      <c r="Q33" s="382"/>
      <c r="R33" s="382"/>
      <c r="S33" s="382"/>
      <c r="T33" s="382"/>
      <c r="U33" s="382"/>
    </row>
    <row r="34" spans="1:22" ht="15">
      <c r="A34" s="30"/>
      <c r="B34" s="382"/>
      <c r="C34" s="382"/>
      <c r="D34" s="382"/>
      <c r="E34" s="382"/>
      <c r="F34" s="382"/>
      <c r="G34" s="382"/>
      <c r="H34" s="382"/>
      <c r="I34" s="382"/>
      <c r="J34" s="382"/>
      <c r="K34" s="382"/>
      <c r="L34" s="382"/>
      <c r="M34" s="382"/>
      <c r="N34" s="382"/>
      <c r="O34" s="382"/>
      <c r="P34" s="382"/>
      <c r="Q34" s="382"/>
      <c r="R34" s="382"/>
      <c r="S34" s="382"/>
      <c r="T34" s="382"/>
      <c r="U34" s="382"/>
    </row>
    <row r="35" spans="1:22" ht="15">
      <c r="A35" s="30" t="s">
        <v>902</v>
      </c>
      <c r="B35" s="387" t="s">
        <v>91</v>
      </c>
      <c r="C35" s="387"/>
      <c r="D35" s="387"/>
      <c r="E35" s="387"/>
      <c r="F35" s="387"/>
      <c r="G35" s="387"/>
      <c r="H35" s="387"/>
      <c r="I35" s="387"/>
      <c r="J35" s="387"/>
      <c r="K35" s="387"/>
      <c r="L35" s="387"/>
      <c r="M35" s="387"/>
      <c r="N35" s="387"/>
      <c r="O35" s="387"/>
      <c r="P35" s="387"/>
      <c r="Q35" s="387"/>
      <c r="R35" s="387"/>
      <c r="S35" s="387"/>
      <c r="T35" s="387"/>
      <c r="U35" s="387"/>
    </row>
    <row r="36" spans="1:22" ht="15">
      <c r="A36" s="30"/>
      <c r="B36" s="387"/>
      <c r="C36" s="387"/>
      <c r="D36" s="387"/>
      <c r="E36" s="387"/>
      <c r="F36" s="387"/>
      <c r="G36" s="387"/>
      <c r="H36" s="387"/>
      <c r="I36" s="387"/>
      <c r="J36" s="387"/>
      <c r="K36" s="387"/>
      <c r="L36" s="387"/>
      <c r="M36" s="387"/>
      <c r="N36" s="387"/>
      <c r="O36" s="387"/>
      <c r="P36" s="387"/>
      <c r="Q36" s="387"/>
      <c r="R36" s="387"/>
      <c r="S36" s="387"/>
      <c r="T36" s="387"/>
      <c r="U36" s="387"/>
    </row>
    <row r="37" spans="1:22" ht="15">
      <c r="A37" s="30"/>
      <c r="B37" s="387"/>
      <c r="C37" s="387"/>
      <c r="D37" s="387"/>
      <c r="E37" s="387"/>
      <c r="F37" s="387"/>
      <c r="G37" s="387"/>
      <c r="H37" s="387"/>
      <c r="I37" s="387"/>
      <c r="J37" s="387"/>
      <c r="K37" s="387"/>
      <c r="L37" s="387"/>
      <c r="M37" s="387"/>
      <c r="N37" s="387"/>
      <c r="O37" s="387"/>
      <c r="P37" s="387"/>
      <c r="Q37" s="387"/>
      <c r="R37" s="387"/>
      <c r="S37" s="387"/>
      <c r="T37" s="387"/>
      <c r="U37" s="387"/>
    </row>
    <row r="38" spans="1:22" ht="15">
      <c r="A38" s="30"/>
      <c r="B38" s="382"/>
      <c r="C38" s="382"/>
      <c r="D38" s="382"/>
      <c r="E38" s="382"/>
      <c r="F38" s="382"/>
      <c r="G38" s="382"/>
      <c r="H38" s="382"/>
      <c r="I38" s="382"/>
      <c r="J38" s="382"/>
      <c r="K38" s="382"/>
      <c r="L38" s="382"/>
      <c r="M38" s="382"/>
      <c r="N38" s="382"/>
      <c r="O38" s="382"/>
      <c r="P38" s="382"/>
      <c r="Q38" s="30"/>
      <c r="R38" s="30"/>
      <c r="S38" s="30"/>
      <c r="T38" s="30"/>
      <c r="U38" s="30"/>
    </row>
    <row r="39" spans="1:22" ht="15">
      <c r="A39" s="30"/>
      <c r="B39" s="382"/>
      <c r="C39" s="382"/>
      <c r="D39" s="382"/>
      <c r="E39" s="382"/>
      <c r="F39" s="382"/>
      <c r="G39" s="382"/>
      <c r="H39" s="382"/>
      <c r="I39" s="382"/>
      <c r="J39" s="382"/>
      <c r="K39" s="382"/>
      <c r="L39" s="382"/>
      <c r="M39" s="382"/>
      <c r="N39" s="382"/>
      <c r="O39" s="382"/>
      <c r="P39" s="382"/>
      <c r="Q39" s="30"/>
      <c r="R39" s="30"/>
      <c r="S39" s="30"/>
      <c r="T39" s="30"/>
      <c r="U39" s="30"/>
    </row>
    <row r="40" spans="1:22" ht="15">
      <c r="A40" s="30"/>
      <c r="B40" s="382"/>
      <c r="C40" s="382"/>
      <c r="D40" s="382"/>
      <c r="E40" s="382"/>
      <c r="F40" s="382"/>
      <c r="G40" s="382"/>
      <c r="H40" s="382"/>
      <c r="I40" s="382"/>
      <c r="J40" s="382"/>
      <c r="K40" s="382"/>
      <c r="L40" s="382"/>
      <c r="M40" s="382"/>
      <c r="N40" s="382"/>
      <c r="O40" s="382"/>
      <c r="P40" s="382"/>
      <c r="Q40" s="30"/>
      <c r="R40" s="30"/>
      <c r="S40" s="30"/>
      <c r="T40" s="30"/>
      <c r="U40" s="30"/>
    </row>
    <row r="41" spans="1:22" ht="15">
      <c r="A41" s="30"/>
      <c r="B41" s="382"/>
      <c r="C41" s="382"/>
      <c r="D41" s="382"/>
      <c r="E41" s="382"/>
      <c r="F41" s="382"/>
      <c r="G41" s="382"/>
      <c r="H41" s="382"/>
      <c r="I41" s="382"/>
      <c r="J41" s="382"/>
      <c r="K41" s="382"/>
      <c r="L41" s="382"/>
      <c r="M41" s="382"/>
      <c r="N41" s="382"/>
      <c r="O41" s="382"/>
      <c r="P41" s="382"/>
      <c r="Q41" s="30"/>
      <c r="R41" s="30"/>
      <c r="S41" s="30"/>
      <c r="T41" s="30"/>
      <c r="U41" s="30"/>
    </row>
    <row r="42" spans="1:22" ht="15">
      <c r="A42" s="30"/>
      <c r="B42" s="382"/>
      <c r="C42" s="382"/>
      <c r="D42" s="382"/>
      <c r="E42" s="382"/>
      <c r="F42" s="382"/>
      <c r="G42" s="382"/>
      <c r="H42" s="382"/>
      <c r="I42" s="382"/>
      <c r="J42" s="382"/>
      <c r="K42" s="382"/>
      <c r="L42" s="382"/>
      <c r="M42" s="382"/>
      <c r="N42" s="382"/>
      <c r="O42" s="382"/>
      <c r="P42" s="382"/>
      <c r="Q42" s="30"/>
      <c r="R42" s="30"/>
      <c r="S42" s="30"/>
      <c r="T42" s="30"/>
      <c r="U42" s="30"/>
    </row>
    <row r="43" spans="1:22" ht="15">
      <c r="A43" s="30"/>
      <c r="B43" s="382"/>
      <c r="C43" s="382"/>
      <c r="D43" s="382"/>
      <c r="E43" s="382"/>
      <c r="F43" s="382"/>
      <c r="G43" s="382"/>
      <c r="H43" s="382"/>
      <c r="I43" s="382"/>
      <c r="J43" s="382"/>
      <c r="K43" s="382"/>
      <c r="L43" s="382"/>
      <c r="M43" s="382"/>
      <c r="N43" s="382"/>
      <c r="O43" s="382"/>
      <c r="P43" s="382"/>
      <c r="Q43" s="30"/>
      <c r="R43" s="30"/>
      <c r="S43" s="30"/>
      <c r="T43" s="30"/>
      <c r="U43" s="30"/>
    </row>
    <row r="44" spans="1:22" ht="15">
      <c r="A44" s="30"/>
      <c r="B44" s="382"/>
      <c r="C44" s="382"/>
      <c r="D44" s="382"/>
      <c r="E44" s="382"/>
      <c r="F44" s="382"/>
      <c r="G44" s="382"/>
      <c r="H44" s="382"/>
      <c r="I44" s="382"/>
      <c r="J44" s="382"/>
      <c r="K44" s="382"/>
      <c r="L44" s="382"/>
      <c r="M44" s="382"/>
      <c r="N44" s="382"/>
      <c r="O44" s="382"/>
      <c r="P44" s="382"/>
      <c r="Q44" s="30"/>
      <c r="R44" s="30"/>
      <c r="S44" s="30"/>
      <c r="T44" s="30"/>
      <c r="U44" s="30"/>
    </row>
    <row r="45" spans="1:22" ht="15.75" thickBot="1">
      <c r="A45" s="30"/>
      <c r="B45" s="30"/>
      <c r="C45" s="30"/>
      <c r="D45" s="30"/>
      <c r="E45" s="30"/>
      <c r="F45" s="30"/>
      <c r="G45" s="30"/>
      <c r="H45" s="30"/>
      <c r="I45" s="30"/>
      <c r="J45" s="30"/>
      <c r="K45" s="30"/>
      <c r="L45" s="30"/>
      <c r="M45" s="30"/>
      <c r="N45" s="30"/>
      <c r="O45" s="30"/>
      <c r="P45" s="30"/>
      <c r="Q45" s="30"/>
      <c r="R45" s="30"/>
      <c r="S45" s="30"/>
      <c r="T45" s="30"/>
      <c r="U45" s="30"/>
    </row>
    <row r="46" spans="1:22" ht="15" customHeight="1">
      <c r="A46" s="229"/>
      <c r="B46" s="230"/>
      <c r="C46" s="230"/>
      <c r="D46" s="230"/>
      <c r="E46" s="231"/>
      <c r="F46" s="158" t="str">
        <f>'Top Angle &amp; Intermediate wind g'!F105</f>
        <v>نگهداشت و افزایش تولید میدان نفتی بینک
سطح الارض و ابنیه تحت الارض 
خرید مخازن ذخیره گاز ایستگاه تقویت فشار گاز بینک 
(قرارداد BK-HD-GCS-CO-0026_00 )</v>
      </c>
      <c r="G46" s="159"/>
      <c r="H46" s="159"/>
      <c r="I46" s="159"/>
      <c r="J46" s="159"/>
      <c r="K46" s="159"/>
      <c r="L46" s="159"/>
      <c r="M46" s="159"/>
      <c r="N46" s="159"/>
      <c r="O46" s="159"/>
      <c r="P46" s="159"/>
      <c r="Q46" s="160"/>
      <c r="R46" s="238"/>
      <c r="S46" s="238"/>
      <c r="T46" s="238"/>
      <c r="U46" s="238"/>
      <c r="V46" s="239"/>
    </row>
    <row r="47" spans="1:22">
      <c r="A47" s="232"/>
      <c r="B47" s="233"/>
      <c r="C47" s="233"/>
      <c r="D47" s="233"/>
      <c r="E47" s="234"/>
      <c r="F47" s="161"/>
      <c r="G47" s="162"/>
      <c r="H47" s="162"/>
      <c r="I47" s="162"/>
      <c r="J47" s="162"/>
      <c r="K47" s="162"/>
      <c r="L47" s="162"/>
      <c r="M47" s="162"/>
      <c r="N47" s="162"/>
      <c r="O47" s="162"/>
      <c r="P47" s="162"/>
      <c r="Q47" s="163"/>
      <c r="R47" s="177"/>
      <c r="S47" s="177"/>
      <c r="T47" s="177"/>
      <c r="U47" s="177"/>
      <c r="V47" s="240"/>
    </row>
    <row r="48" spans="1:22">
      <c r="A48" s="232"/>
      <c r="B48" s="233"/>
      <c r="C48" s="233"/>
      <c r="D48" s="233"/>
      <c r="E48" s="234"/>
      <c r="F48" s="161"/>
      <c r="G48" s="162"/>
      <c r="H48" s="162"/>
      <c r="I48" s="162"/>
      <c r="J48" s="162"/>
      <c r="K48" s="162"/>
      <c r="L48" s="162"/>
      <c r="M48" s="162"/>
      <c r="N48" s="162"/>
      <c r="O48" s="162"/>
      <c r="P48" s="162"/>
      <c r="Q48" s="163"/>
      <c r="R48" s="177"/>
      <c r="S48" s="177"/>
      <c r="T48" s="177"/>
      <c r="U48" s="177"/>
      <c r="V48" s="240"/>
    </row>
    <row r="49" spans="1:22">
      <c r="A49" s="232"/>
      <c r="B49" s="233"/>
      <c r="C49" s="233"/>
      <c r="D49" s="233"/>
      <c r="E49" s="234"/>
      <c r="F49" s="161"/>
      <c r="G49" s="162"/>
      <c r="H49" s="162"/>
      <c r="I49" s="162"/>
      <c r="J49" s="162"/>
      <c r="K49" s="162"/>
      <c r="L49" s="162"/>
      <c r="M49" s="162"/>
      <c r="N49" s="162"/>
      <c r="O49" s="162"/>
      <c r="P49" s="162"/>
      <c r="Q49" s="163"/>
      <c r="R49" s="177"/>
      <c r="S49" s="177"/>
      <c r="T49" s="177"/>
      <c r="U49" s="177"/>
      <c r="V49" s="240"/>
    </row>
    <row r="50" spans="1:22">
      <c r="A50" s="232"/>
      <c r="B50" s="233"/>
      <c r="C50" s="233"/>
      <c r="D50" s="233"/>
      <c r="E50" s="234"/>
      <c r="F50" s="164"/>
      <c r="G50" s="165"/>
      <c r="H50" s="165"/>
      <c r="I50" s="165"/>
      <c r="J50" s="165"/>
      <c r="K50" s="165"/>
      <c r="L50" s="165"/>
      <c r="M50" s="165"/>
      <c r="N50" s="165"/>
      <c r="O50" s="165"/>
      <c r="P50" s="165"/>
      <c r="Q50" s="166"/>
      <c r="R50" s="177"/>
      <c r="S50" s="177"/>
      <c r="T50" s="177"/>
      <c r="U50" s="177"/>
      <c r="V50" s="240"/>
    </row>
    <row r="51" spans="1:22" ht="25.9" customHeight="1">
      <c r="A51" s="235"/>
      <c r="B51" s="236"/>
      <c r="C51" s="236"/>
      <c r="D51" s="236"/>
      <c r="E51" s="237"/>
      <c r="F51" s="265" t="str">
        <f>F6</f>
        <v>Mechanical Calculation Book For Fire Water Tanks (TK-2301A/B)</v>
      </c>
      <c r="G51" s="266"/>
      <c r="H51" s="266"/>
      <c r="I51" s="266"/>
      <c r="J51" s="266"/>
      <c r="K51" s="266"/>
      <c r="L51" s="266"/>
      <c r="M51" s="266"/>
      <c r="N51" s="266"/>
      <c r="O51" s="266"/>
      <c r="P51" s="266"/>
      <c r="Q51" s="267"/>
      <c r="R51" s="177"/>
      <c r="S51" s="177"/>
      <c r="T51" s="177"/>
      <c r="U51" s="177"/>
      <c r="V51" s="240"/>
    </row>
    <row r="52" spans="1:22" ht="19.899999999999999" customHeight="1">
      <c r="A52" s="167" t="s">
        <v>743</v>
      </c>
      <c r="B52" s="168"/>
      <c r="C52" s="168"/>
      <c r="D52" s="168"/>
      <c r="E52" s="169"/>
      <c r="F52" s="125" t="s">
        <v>744</v>
      </c>
      <c r="G52" s="170" t="s">
        <v>745</v>
      </c>
      <c r="H52" s="171"/>
      <c r="I52" s="170" t="s">
        <v>746</v>
      </c>
      <c r="J52" s="171"/>
      <c r="K52" s="170" t="s">
        <v>747</v>
      </c>
      <c r="L52" s="171"/>
      <c r="M52" s="125" t="s">
        <v>748</v>
      </c>
      <c r="N52" s="170" t="s">
        <v>749</v>
      </c>
      <c r="O52" s="171"/>
      <c r="P52" s="125" t="s">
        <v>750</v>
      </c>
      <c r="Q52" s="126" t="s">
        <v>751</v>
      </c>
      <c r="R52" s="172">
        <f>R7</f>
        <v>29</v>
      </c>
      <c r="S52" s="174" t="s">
        <v>752</v>
      </c>
      <c r="T52" s="263">
        <f>T7+1</f>
        <v>15</v>
      </c>
      <c r="U52" s="168" t="s">
        <v>753</v>
      </c>
      <c r="V52" s="188"/>
    </row>
    <row r="53" spans="1:22" ht="24" customHeight="1" thickBot="1">
      <c r="A53" s="191" t="s">
        <v>754</v>
      </c>
      <c r="B53" s="175"/>
      <c r="C53" s="175"/>
      <c r="D53" s="175"/>
      <c r="E53" s="192"/>
      <c r="F53" s="132" t="s">
        <v>755</v>
      </c>
      <c r="G53" s="193" t="s">
        <v>756</v>
      </c>
      <c r="H53" s="193"/>
      <c r="I53" s="193" t="s">
        <v>878</v>
      </c>
      <c r="J53" s="193"/>
      <c r="K53" s="193">
        <v>120</v>
      </c>
      <c r="L53" s="193"/>
      <c r="M53" s="132" t="s">
        <v>757</v>
      </c>
      <c r="N53" s="193" t="s">
        <v>879</v>
      </c>
      <c r="O53" s="193"/>
      <c r="P53" s="142" t="s">
        <v>881</v>
      </c>
      <c r="Q53" s="133" t="str">
        <f>'Top Angle &amp; Intermediate wind g'!Q112</f>
        <v>V01</v>
      </c>
      <c r="R53" s="173"/>
      <c r="S53" s="175"/>
      <c r="T53" s="264"/>
      <c r="U53" s="189"/>
      <c r="V53" s="190"/>
    </row>
    <row r="54" spans="1:22">
      <c r="B54" s="353"/>
      <c r="C54" s="353"/>
      <c r="D54" s="353"/>
      <c r="E54" s="353"/>
      <c r="F54" s="353"/>
      <c r="G54" s="353"/>
      <c r="H54" s="353"/>
      <c r="I54" s="353"/>
      <c r="J54" s="353"/>
      <c r="K54" s="353"/>
      <c r="L54" s="353"/>
      <c r="M54" s="353"/>
      <c r="N54" s="353"/>
      <c r="O54" s="353"/>
      <c r="P54" s="353"/>
      <c r="Q54" s="353"/>
      <c r="R54" s="353"/>
      <c r="S54" s="353"/>
      <c r="T54" s="353"/>
      <c r="U54" s="353"/>
    </row>
    <row r="55" spans="1:22">
      <c r="B55" s="353"/>
      <c r="C55" s="353"/>
      <c r="D55" s="353"/>
      <c r="E55" s="353"/>
      <c r="F55" s="353"/>
      <c r="G55" s="353"/>
      <c r="H55" s="353"/>
      <c r="I55" s="353"/>
      <c r="J55" s="353"/>
      <c r="K55" s="353"/>
      <c r="L55" s="353"/>
      <c r="M55" s="353"/>
      <c r="N55" s="353"/>
      <c r="O55" s="353"/>
      <c r="P55" s="353"/>
      <c r="Q55" s="353"/>
      <c r="R55" s="353"/>
      <c r="S55" s="353"/>
      <c r="T55" s="353"/>
      <c r="U55" s="353"/>
    </row>
    <row r="56" spans="1:22">
      <c r="B56" s="353"/>
      <c r="C56" s="353"/>
      <c r="D56" s="353"/>
      <c r="E56" s="353"/>
      <c r="F56" s="353"/>
      <c r="G56" s="353"/>
      <c r="H56" s="353"/>
      <c r="I56" s="353"/>
      <c r="J56" s="353"/>
      <c r="K56" s="353"/>
      <c r="L56" s="353"/>
      <c r="M56" s="353"/>
      <c r="N56" s="353"/>
      <c r="O56" s="353"/>
      <c r="P56" s="353"/>
      <c r="Q56" s="353"/>
      <c r="R56" s="353"/>
      <c r="S56" s="353"/>
      <c r="T56" s="353"/>
      <c r="U56" s="353"/>
    </row>
    <row r="57" spans="1:22">
      <c r="B57" s="353"/>
      <c r="C57" s="353"/>
      <c r="D57" s="353"/>
      <c r="E57" s="353"/>
      <c r="F57" s="353"/>
      <c r="G57" s="353"/>
      <c r="H57" s="353"/>
      <c r="I57" s="353"/>
      <c r="J57" s="353"/>
      <c r="K57" s="353"/>
      <c r="L57" s="353"/>
      <c r="M57" s="353"/>
      <c r="N57" s="353"/>
      <c r="O57" s="353"/>
      <c r="P57" s="353"/>
      <c r="Q57" s="353"/>
      <c r="R57" s="353"/>
      <c r="S57" s="353"/>
      <c r="T57" s="353"/>
      <c r="U57" s="353"/>
    </row>
    <row r="58" spans="1:22">
      <c r="B58" s="353"/>
      <c r="C58" s="353"/>
      <c r="D58" s="353"/>
      <c r="E58" s="353"/>
      <c r="F58" s="353"/>
      <c r="G58" s="353"/>
      <c r="H58" s="353"/>
      <c r="I58" s="353"/>
      <c r="J58" s="353"/>
      <c r="K58" s="353"/>
      <c r="L58" s="353"/>
      <c r="M58" s="353"/>
      <c r="N58" s="353"/>
      <c r="O58" s="353"/>
      <c r="P58" s="353"/>
      <c r="Q58" s="353"/>
      <c r="R58" s="353"/>
      <c r="S58" s="353"/>
      <c r="T58" s="353"/>
      <c r="U58" s="353"/>
    </row>
    <row r="59" spans="1:22">
      <c r="B59" s="353"/>
      <c r="C59" s="353"/>
      <c r="D59" s="353"/>
      <c r="E59" s="353"/>
      <c r="F59" s="353"/>
      <c r="G59" s="353"/>
      <c r="H59" s="353"/>
      <c r="I59" s="353"/>
      <c r="J59" s="353"/>
      <c r="K59" s="353"/>
      <c r="L59" s="353"/>
      <c r="M59" s="353"/>
      <c r="N59" s="353"/>
      <c r="O59" s="353"/>
      <c r="P59" s="353"/>
      <c r="Q59" s="353"/>
      <c r="R59" s="353"/>
      <c r="S59" s="353"/>
      <c r="T59" s="353"/>
      <c r="U59" s="353"/>
    </row>
    <row r="60" spans="1:22">
      <c r="B60" s="353"/>
      <c r="C60" s="353"/>
      <c r="D60" s="353"/>
      <c r="E60" s="353"/>
      <c r="F60" s="353"/>
      <c r="G60" s="353"/>
      <c r="H60" s="353"/>
      <c r="I60" s="353"/>
      <c r="J60" s="353"/>
      <c r="K60" s="353"/>
      <c r="L60" s="353"/>
      <c r="M60" s="353"/>
      <c r="N60" s="353"/>
      <c r="O60" s="353"/>
      <c r="P60" s="353"/>
      <c r="Q60" s="353"/>
      <c r="R60" s="353"/>
      <c r="S60" s="353"/>
      <c r="T60" s="353"/>
      <c r="U60" s="353"/>
    </row>
    <row r="61" spans="1:22">
      <c r="B61" s="353"/>
      <c r="C61" s="353"/>
      <c r="D61" s="353"/>
      <c r="E61" s="353"/>
      <c r="F61" s="353"/>
      <c r="G61" s="353"/>
      <c r="H61" s="353"/>
      <c r="I61" s="353"/>
      <c r="J61" s="353"/>
      <c r="K61" s="353"/>
      <c r="L61" s="353"/>
      <c r="M61" s="353"/>
      <c r="N61" s="353"/>
      <c r="O61" s="353"/>
      <c r="P61" s="353"/>
      <c r="Q61" s="353"/>
      <c r="R61" s="353"/>
      <c r="S61" s="353"/>
      <c r="T61" s="353"/>
      <c r="U61" s="353"/>
    </row>
    <row r="62" spans="1:22">
      <c r="B62" s="353"/>
      <c r="C62" s="353"/>
      <c r="D62" s="353"/>
      <c r="E62" s="353"/>
      <c r="F62" s="353"/>
      <c r="G62" s="353"/>
      <c r="H62" s="353"/>
      <c r="I62" s="353"/>
      <c r="J62" s="353"/>
      <c r="K62" s="353"/>
      <c r="L62" s="353"/>
      <c r="M62" s="353"/>
      <c r="N62" s="353"/>
      <c r="O62" s="353"/>
      <c r="P62" s="353"/>
      <c r="Q62" s="353"/>
      <c r="R62" s="353"/>
      <c r="S62" s="353"/>
      <c r="T62" s="353"/>
      <c r="U62" s="353"/>
    </row>
    <row r="63" spans="1:22">
      <c r="B63" s="353"/>
      <c r="C63" s="353"/>
      <c r="D63" s="353"/>
      <c r="E63" s="353"/>
      <c r="F63" s="353"/>
      <c r="G63" s="353"/>
      <c r="H63" s="353"/>
      <c r="I63" s="353"/>
      <c r="J63" s="353"/>
      <c r="K63" s="353"/>
      <c r="L63" s="353"/>
      <c r="M63" s="353"/>
      <c r="N63" s="353"/>
      <c r="O63" s="353"/>
      <c r="P63" s="353"/>
      <c r="Q63" s="353"/>
      <c r="R63" s="353"/>
      <c r="S63" s="353"/>
      <c r="T63" s="353"/>
      <c r="U63" s="353"/>
    </row>
    <row r="64" spans="1:22">
      <c r="B64" s="353"/>
      <c r="C64" s="353"/>
      <c r="D64" s="353"/>
      <c r="E64" s="353"/>
      <c r="F64" s="353"/>
      <c r="G64" s="353"/>
      <c r="H64" s="353"/>
      <c r="I64" s="353"/>
      <c r="J64" s="353"/>
      <c r="K64" s="353"/>
      <c r="L64" s="353"/>
      <c r="M64" s="353"/>
      <c r="N64" s="353"/>
      <c r="O64" s="353"/>
      <c r="P64" s="353"/>
      <c r="Q64" s="353"/>
      <c r="R64" s="353"/>
      <c r="S64" s="353"/>
      <c r="T64" s="353"/>
      <c r="U64" s="353"/>
    </row>
    <row r="65" spans="1:21">
      <c r="B65" s="353"/>
      <c r="C65" s="353"/>
      <c r="D65" s="353"/>
      <c r="E65" s="353"/>
      <c r="F65" s="353"/>
      <c r="G65" s="353"/>
      <c r="H65" s="353"/>
      <c r="I65" s="353"/>
      <c r="J65" s="353"/>
      <c r="K65" s="353"/>
      <c r="L65" s="353"/>
      <c r="M65" s="353"/>
      <c r="N65" s="353"/>
      <c r="O65" s="353"/>
      <c r="P65" s="353"/>
      <c r="Q65" s="353"/>
      <c r="R65" s="353"/>
      <c r="S65" s="353"/>
      <c r="T65" s="353"/>
      <c r="U65" s="353"/>
    </row>
    <row r="66" spans="1:21">
      <c r="B66" s="353"/>
      <c r="C66" s="353"/>
      <c r="D66" s="353"/>
      <c r="E66" s="353"/>
      <c r="F66" s="353"/>
      <c r="G66" s="353"/>
      <c r="H66" s="353"/>
      <c r="I66" s="353"/>
      <c r="J66" s="353"/>
      <c r="K66" s="353"/>
      <c r="L66" s="353"/>
      <c r="M66" s="353"/>
      <c r="N66" s="353"/>
      <c r="O66" s="353"/>
      <c r="P66" s="353"/>
      <c r="Q66" s="353"/>
      <c r="R66" s="353"/>
      <c r="S66" s="353"/>
      <c r="T66" s="353"/>
      <c r="U66" s="353"/>
    </row>
    <row r="67" spans="1:21">
      <c r="B67" s="353"/>
      <c r="C67" s="353"/>
      <c r="D67" s="353"/>
      <c r="E67" s="353"/>
      <c r="F67" s="353"/>
      <c r="G67" s="353"/>
      <c r="H67" s="353"/>
      <c r="I67" s="353"/>
      <c r="J67" s="353"/>
      <c r="K67" s="353"/>
      <c r="L67" s="353"/>
      <c r="M67" s="353"/>
      <c r="N67" s="353"/>
      <c r="O67" s="353"/>
      <c r="P67" s="353"/>
      <c r="Q67" s="353"/>
      <c r="R67" s="353"/>
      <c r="S67" s="353"/>
      <c r="T67" s="353"/>
      <c r="U67" s="353"/>
    </row>
    <row r="68" spans="1:21">
      <c r="B68" s="353"/>
      <c r="C68" s="353"/>
      <c r="D68" s="353"/>
      <c r="E68" s="353"/>
      <c r="F68" s="353"/>
      <c r="G68" s="353"/>
      <c r="H68" s="353"/>
      <c r="I68" s="353"/>
      <c r="J68" s="353"/>
      <c r="K68" s="353"/>
      <c r="L68" s="353"/>
      <c r="M68" s="353"/>
      <c r="N68" s="353"/>
      <c r="O68" s="353"/>
      <c r="P68" s="353"/>
      <c r="Q68" s="353"/>
      <c r="R68" s="353"/>
      <c r="S68" s="353"/>
      <c r="T68" s="353"/>
      <c r="U68" s="353"/>
    </row>
    <row r="69" spans="1:21">
      <c r="B69" s="353"/>
      <c r="C69" s="353"/>
      <c r="D69" s="353"/>
      <c r="E69" s="353"/>
      <c r="F69" s="353"/>
      <c r="G69" s="353"/>
      <c r="H69" s="353"/>
      <c r="I69" s="353"/>
      <c r="J69" s="353"/>
      <c r="K69" s="353"/>
      <c r="L69" s="353"/>
      <c r="M69" s="353"/>
      <c r="N69" s="353"/>
      <c r="O69" s="353"/>
      <c r="P69" s="353"/>
      <c r="Q69" s="353"/>
      <c r="R69" s="353"/>
      <c r="S69" s="353"/>
      <c r="T69" s="353"/>
      <c r="U69" s="353"/>
    </row>
    <row r="70" spans="1:21" ht="15" customHeight="1">
      <c r="A70" s="30"/>
      <c r="B70" s="349" t="s">
        <v>223</v>
      </c>
      <c r="C70" s="349"/>
      <c r="D70" s="349"/>
      <c r="E70" s="349"/>
      <c r="F70" s="349"/>
      <c r="G70" s="349"/>
      <c r="H70" s="349"/>
      <c r="I70" s="349"/>
      <c r="J70" s="349"/>
      <c r="K70" s="349"/>
      <c r="L70" s="47"/>
      <c r="M70" s="47"/>
      <c r="N70" s="47"/>
      <c r="O70" s="48" t="s">
        <v>224</v>
      </c>
      <c r="P70" s="349" t="s">
        <v>876</v>
      </c>
      <c r="Q70" s="349"/>
      <c r="R70" s="349"/>
      <c r="S70" s="349"/>
      <c r="T70" s="151">
        <f>0.89*(C75/190)^2</f>
        <v>1.3269628808864267</v>
      </c>
      <c r="U70" s="49" t="s">
        <v>416</v>
      </c>
    </row>
    <row r="71" spans="1:21" ht="15">
      <c r="A71" s="30"/>
      <c r="B71" s="349" t="s">
        <v>225</v>
      </c>
      <c r="C71" s="349"/>
      <c r="D71" s="349"/>
      <c r="E71" s="349"/>
      <c r="F71" s="349"/>
      <c r="G71" s="349"/>
      <c r="H71" s="349"/>
      <c r="I71" s="349"/>
      <c r="J71" s="349"/>
      <c r="K71" s="349"/>
      <c r="L71" s="47"/>
      <c r="M71" s="47"/>
      <c r="N71" s="47"/>
      <c r="O71" s="48" t="s">
        <v>226</v>
      </c>
      <c r="P71" s="349" t="s">
        <v>877</v>
      </c>
      <c r="Q71" s="349"/>
      <c r="R71" s="349"/>
      <c r="S71" s="349"/>
      <c r="T71" s="151">
        <f>1.48*(C75/190)^2</f>
        <v>2.2066349030470915</v>
      </c>
      <c r="U71" s="49" t="s">
        <v>416</v>
      </c>
    </row>
    <row r="72" spans="1:21" ht="15" customHeight="1">
      <c r="A72" s="30"/>
      <c r="B72" s="47"/>
      <c r="C72" s="465" t="s">
        <v>215</v>
      </c>
      <c r="D72" s="465"/>
      <c r="E72" s="465"/>
      <c r="F72" s="465"/>
      <c r="G72" s="465"/>
      <c r="H72" s="465"/>
      <c r="I72" s="465"/>
      <c r="J72" s="465"/>
      <c r="K72" s="465"/>
      <c r="L72" s="465"/>
      <c r="M72" s="465"/>
      <c r="N72" s="47"/>
      <c r="O72" s="47" t="s">
        <v>227</v>
      </c>
      <c r="P72" s="349" t="s">
        <v>217</v>
      </c>
      <c r="Q72" s="349"/>
      <c r="R72" s="349"/>
      <c r="S72" s="349"/>
      <c r="T72" s="152">
        <f>T70*(G75*E75)*1000</f>
        <v>163879.91578947369</v>
      </c>
      <c r="U72" s="47" t="s">
        <v>214</v>
      </c>
    </row>
    <row r="73" spans="1:21" ht="15" customHeight="1">
      <c r="A73" s="30"/>
      <c r="B73" s="47"/>
      <c r="C73" s="476" t="s">
        <v>216</v>
      </c>
      <c r="D73" s="476"/>
      <c r="E73" s="476"/>
      <c r="F73" s="476"/>
      <c r="G73" s="476"/>
      <c r="H73" s="476"/>
      <c r="I73" s="476"/>
      <c r="J73" s="476"/>
      <c r="K73" s="476"/>
      <c r="L73" s="476"/>
      <c r="M73" s="476"/>
      <c r="N73" s="476"/>
      <c r="O73" s="47" t="s">
        <v>228</v>
      </c>
      <c r="P73" s="349" t="s">
        <v>218</v>
      </c>
      <c r="Q73" s="349"/>
      <c r="R73" s="349"/>
      <c r="S73" s="349"/>
      <c r="T73" s="152">
        <f>T71*((PI()*(G75^2))/4)*1000</f>
        <v>292891.70302397973</v>
      </c>
      <c r="U73" s="47" t="s">
        <v>214</v>
      </c>
    </row>
    <row r="74" spans="1:21" ht="15">
      <c r="A74" s="30"/>
      <c r="B74" s="47"/>
      <c r="C74" s="471" t="s">
        <v>219</v>
      </c>
      <c r="D74" s="471"/>
      <c r="E74" s="471" t="s">
        <v>220</v>
      </c>
      <c r="F74" s="471"/>
      <c r="G74" s="471" t="s">
        <v>221</v>
      </c>
      <c r="H74" s="471"/>
      <c r="I74" s="477"/>
      <c r="J74" s="477"/>
      <c r="K74" s="475"/>
      <c r="L74" s="475"/>
      <c r="M74" s="47"/>
      <c r="N74" s="47"/>
      <c r="O74" s="47" t="s">
        <v>229</v>
      </c>
      <c r="P74" s="463">
        <f>T72*(E75/2)</f>
        <v>778429.6</v>
      </c>
      <c r="Q74" s="463"/>
      <c r="R74" s="463"/>
      <c r="S74" s="463"/>
      <c r="T74" s="47" t="s">
        <v>442</v>
      </c>
      <c r="U74" s="47"/>
    </row>
    <row r="75" spans="1:21" ht="15">
      <c r="A75" s="30"/>
      <c r="B75" s="47"/>
      <c r="C75" s="471">
        <f>COVER!H171</f>
        <v>232</v>
      </c>
      <c r="D75" s="471"/>
      <c r="E75" s="471">
        <f>(COVER!H154)/1000</f>
        <v>9.5</v>
      </c>
      <c r="F75" s="471"/>
      <c r="G75" s="471">
        <f>(COVER!H153)/1000</f>
        <v>13</v>
      </c>
      <c r="H75" s="471"/>
      <c r="I75" s="474">
        <v>0</v>
      </c>
      <c r="J75" s="474"/>
      <c r="K75" s="471">
        <v>0.4</v>
      </c>
      <c r="L75" s="471"/>
      <c r="M75" s="47"/>
      <c r="N75" s="47"/>
      <c r="O75" s="47" t="s">
        <v>230</v>
      </c>
      <c r="P75" s="463">
        <f>T73*(G75/2)</f>
        <v>1903796.0696558682</v>
      </c>
      <c r="Q75" s="463"/>
      <c r="R75" s="463"/>
      <c r="S75" s="463"/>
      <c r="T75" s="47" t="s">
        <v>442</v>
      </c>
      <c r="U75" s="47"/>
    </row>
    <row r="76" spans="1:21" ht="15">
      <c r="A76" s="30"/>
      <c r="B76" s="47"/>
      <c r="C76" s="471" t="s">
        <v>222</v>
      </c>
      <c r="D76" s="471"/>
      <c r="E76" s="471" t="s">
        <v>70</v>
      </c>
      <c r="F76" s="471"/>
      <c r="G76" s="471" t="s">
        <v>70</v>
      </c>
      <c r="H76" s="471"/>
      <c r="I76" s="464" t="s">
        <v>442</v>
      </c>
      <c r="J76" s="464"/>
      <c r="K76" s="471"/>
      <c r="L76" s="471"/>
      <c r="M76" s="47"/>
      <c r="N76" s="47"/>
      <c r="O76" s="47"/>
      <c r="P76" s="463">
        <f>P74+P75+I75</f>
        <v>2682225.6696558683</v>
      </c>
      <c r="Q76" s="463"/>
      <c r="R76" s="463"/>
      <c r="S76" s="463"/>
      <c r="T76" s="47" t="s">
        <v>442</v>
      </c>
      <c r="U76" s="47"/>
    </row>
    <row r="77" spans="1:21" ht="24" customHeight="1">
      <c r="A77" s="30"/>
      <c r="B77" s="47"/>
      <c r="C77" s="349"/>
      <c r="D77" s="462" t="s">
        <v>246</v>
      </c>
      <c r="E77" s="462"/>
      <c r="F77" s="462"/>
      <c r="G77" s="462"/>
      <c r="H77" s="462"/>
      <c r="I77" s="462"/>
      <c r="J77" s="461">
        <f>59*(8-1.5)*((203.7*10.5)^0.5)</f>
        <v>17735.993964604859</v>
      </c>
      <c r="K77" s="461"/>
      <c r="L77" s="449" t="s">
        <v>247</v>
      </c>
      <c r="M77" s="449"/>
      <c r="N77" s="47"/>
      <c r="O77" s="48" t="s">
        <v>232</v>
      </c>
      <c r="P77" s="463">
        <f>T72+T73+(I75/(G75/2))</f>
        <v>456771.61881345342</v>
      </c>
      <c r="Q77" s="463"/>
      <c r="R77" s="463"/>
      <c r="S77" s="463"/>
      <c r="T77" s="47" t="s">
        <v>214</v>
      </c>
      <c r="U77" s="47"/>
    </row>
    <row r="78" spans="1:21" ht="30" customHeight="1">
      <c r="A78" s="30"/>
      <c r="B78" s="47"/>
      <c r="C78" s="349"/>
      <c r="D78" s="449" t="s">
        <v>248</v>
      </c>
      <c r="E78" s="449"/>
      <c r="F78" s="449"/>
      <c r="G78" s="449"/>
      <c r="H78" s="449"/>
      <c r="I78" s="449"/>
      <c r="J78" s="461">
        <f>140.8*E75*G75</f>
        <v>17388.800000000003</v>
      </c>
      <c r="K78" s="461"/>
      <c r="L78" s="449" t="s">
        <v>247</v>
      </c>
      <c r="M78" s="449"/>
      <c r="N78" s="47"/>
      <c r="O78" s="48" t="s">
        <v>233</v>
      </c>
      <c r="P78" s="472" t="s">
        <v>466</v>
      </c>
      <c r="Q78" s="472"/>
      <c r="R78" s="472"/>
      <c r="S78" s="472"/>
      <c r="T78" s="153">
        <f>(('Shell Plate Design '!S47)*(G75/2)*9.8)</f>
        <v>1327442.3552023408</v>
      </c>
      <c r="U78" s="47" t="s">
        <v>442</v>
      </c>
    </row>
    <row r="79" spans="1:21" ht="30" customHeight="1">
      <c r="A79" s="30"/>
      <c r="B79" s="47"/>
      <c r="C79" s="349"/>
      <c r="D79" s="378" t="s">
        <v>249</v>
      </c>
      <c r="E79" s="378"/>
      <c r="F79" s="378"/>
      <c r="G79" s="378"/>
      <c r="H79" s="378"/>
      <c r="I79" s="378"/>
      <c r="J79" s="470">
        <f>MIN( J77,J78)</f>
        <v>17388.800000000003</v>
      </c>
      <c r="K79" s="470"/>
      <c r="L79" s="449" t="s">
        <v>247</v>
      </c>
      <c r="M79" s="449"/>
      <c r="N79" s="32"/>
      <c r="O79" s="48" t="s">
        <v>235</v>
      </c>
      <c r="P79" s="473" t="s">
        <v>234</v>
      </c>
      <c r="Q79" s="473"/>
      <c r="R79" s="473"/>
      <c r="S79" s="473"/>
      <c r="T79" s="153">
        <f>('Roof design'!Q31)*9.8*(G75/2)</f>
        <v>848400.89503715013</v>
      </c>
      <c r="U79" s="47" t="s">
        <v>442</v>
      </c>
    </row>
    <row r="80" spans="1:21" ht="15" customHeight="1">
      <c r="A80" s="30"/>
      <c r="B80" s="50"/>
      <c r="C80" s="50"/>
      <c r="D80" s="449" t="s">
        <v>250</v>
      </c>
      <c r="E80" s="449"/>
      <c r="F80" s="449"/>
      <c r="G80" s="449"/>
      <c r="H80" s="449"/>
      <c r="I80" s="449"/>
      <c r="J80" s="449">
        <f>J79*PI()*G75*G75/2</f>
        <v>4616110.4752857164</v>
      </c>
      <c r="K80" s="449"/>
      <c r="L80" s="449" t="s">
        <v>247</v>
      </c>
      <c r="M80" s="449"/>
      <c r="N80" s="50"/>
      <c r="O80" s="50"/>
      <c r="P80" s="50"/>
      <c r="Q80" s="50"/>
      <c r="R80" s="50"/>
      <c r="S80" s="50"/>
      <c r="T80" s="50"/>
      <c r="U80" s="50"/>
    </row>
    <row r="81" spans="1:22" ht="15">
      <c r="A81" s="30"/>
      <c r="B81" s="50"/>
      <c r="C81" s="50"/>
      <c r="D81" s="449"/>
      <c r="E81" s="449"/>
      <c r="F81" s="449"/>
      <c r="G81" s="449"/>
      <c r="H81" s="449"/>
      <c r="I81" s="449"/>
      <c r="J81" s="449"/>
      <c r="K81" s="449"/>
      <c r="L81" s="449"/>
      <c r="M81" s="449"/>
      <c r="N81" s="50"/>
      <c r="O81" s="50"/>
      <c r="P81" s="50"/>
      <c r="Q81" s="50"/>
      <c r="R81" s="50"/>
      <c r="S81" s="50"/>
      <c r="T81" s="50"/>
      <c r="U81" s="50"/>
    </row>
    <row r="82" spans="1:22" ht="15">
      <c r="A82" s="30"/>
      <c r="B82" s="312" t="s">
        <v>92</v>
      </c>
      <c r="C82" s="312"/>
      <c r="D82" s="312"/>
      <c r="E82" s="312"/>
      <c r="F82" s="312"/>
      <c r="G82" s="312"/>
      <c r="H82" s="312"/>
      <c r="I82" s="312"/>
      <c r="J82" s="312"/>
      <c r="K82" s="312"/>
      <c r="L82" s="312"/>
      <c r="M82" s="312"/>
      <c r="N82" s="312"/>
      <c r="O82" s="312"/>
      <c r="P82" s="312"/>
      <c r="Q82" s="312"/>
      <c r="R82" s="312"/>
      <c r="S82" s="312"/>
      <c r="T82" s="312"/>
      <c r="U82" s="312"/>
    </row>
    <row r="83" spans="1:22" ht="15">
      <c r="A83" s="30"/>
      <c r="B83" s="312"/>
      <c r="C83" s="312"/>
      <c r="D83" s="312"/>
      <c r="E83" s="312"/>
      <c r="F83" s="312"/>
      <c r="G83" s="312"/>
      <c r="H83" s="312"/>
      <c r="I83" s="312"/>
      <c r="J83" s="312"/>
      <c r="K83" s="312"/>
      <c r="L83" s="312"/>
      <c r="M83" s="312"/>
      <c r="N83" s="312"/>
      <c r="O83" s="312"/>
      <c r="P83" s="312"/>
      <c r="Q83" s="312"/>
      <c r="R83" s="312"/>
      <c r="S83" s="312"/>
      <c r="T83" s="312"/>
      <c r="U83" s="312"/>
    </row>
    <row r="84" spans="1:22" ht="15" customHeight="1">
      <c r="A84" s="30"/>
      <c r="B84" s="387"/>
      <c r="C84" s="387"/>
      <c r="D84" s="387"/>
      <c r="E84" s="387"/>
      <c r="F84" s="387"/>
      <c r="G84" s="387"/>
      <c r="H84" s="387"/>
      <c r="I84" s="387"/>
      <c r="J84" s="378" t="s">
        <v>93</v>
      </c>
      <c r="K84" s="378"/>
      <c r="L84" s="378"/>
      <c r="M84" s="469">
        <f>(0.6*P76)+I75</f>
        <v>1609335.4017935209</v>
      </c>
      <c r="N84" s="469"/>
      <c r="O84" s="469"/>
      <c r="P84" s="449" t="str">
        <f>IF(M84&lt;Q84,"&lt;","&gt; ")</f>
        <v>&lt;</v>
      </c>
      <c r="Q84" s="466">
        <f>((T78)/(1.5))+(T79)</f>
        <v>1733362.465172044</v>
      </c>
      <c r="R84" s="466"/>
      <c r="S84" s="466"/>
      <c r="T84" s="378" t="str">
        <f>IF(M84&lt;Q84,"PASS","NOK ")</f>
        <v>PASS</v>
      </c>
      <c r="U84" s="378"/>
      <c r="V84" s="468"/>
    </row>
    <row r="85" spans="1:22" ht="15">
      <c r="A85" s="30"/>
      <c r="B85" s="387"/>
      <c r="C85" s="387"/>
      <c r="D85" s="387"/>
      <c r="E85" s="387"/>
      <c r="F85" s="387"/>
      <c r="G85" s="387"/>
      <c r="H85" s="387"/>
      <c r="I85" s="387"/>
      <c r="J85" s="378"/>
      <c r="K85" s="378"/>
      <c r="L85" s="378"/>
      <c r="M85" s="469"/>
      <c r="N85" s="469"/>
      <c r="O85" s="469"/>
      <c r="P85" s="449"/>
      <c r="Q85" s="466"/>
      <c r="R85" s="466"/>
      <c r="S85" s="466"/>
      <c r="T85" s="378"/>
      <c r="U85" s="378"/>
      <c r="V85" s="468"/>
    </row>
    <row r="86" spans="1:22" ht="15">
      <c r="A86" s="30"/>
      <c r="B86" s="387"/>
      <c r="C86" s="387"/>
      <c r="D86" s="387"/>
      <c r="E86" s="387"/>
      <c r="F86" s="387"/>
      <c r="G86" s="387"/>
      <c r="H86" s="387"/>
      <c r="I86" s="387"/>
      <c r="J86" s="378" t="s">
        <v>93</v>
      </c>
      <c r="K86" s="378"/>
      <c r="L86" s="378"/>
      <c r="M86" s="466">
        <f>P76+(I75*K75)</f>
        <v>2682225.6696558683</v>
      </c>
      <c r="N86" s="466"/>
      <c r="O86" s="466"/>
      <c r="P86" s="449" t="str">
        <f>IF(M86&lt;Q86,"&lt;","&gt; ")</f>
        <v>&lt;</v>
      </c>
      <c r="Q86" s="469">
        <f>((T78+J80)/(2))+T79</f>
        <v>3820177.3102811784</v>
      </c>
      <c r="R86" s="469"/>
      <c r="S86" s="469"/>
      <c r="T86" s="378" t="str">
        <f t="shared" ref="T86" si="0">IF(M86&lt;Q86,"PASS","NOK ")</f>
        <v>PASS</v>
      </c>
      <c r="U86" s="378"/>
      <c r="V86" s="468"/>
    </row>
    <row r="87" spans="1:22" ht="15">
      <c r="A87" s="30"/>
      <c r="B87" s="387"/>
      <c r="C87" s="387"/>
      <c r="D87" s="387"/>
      <c r="E87" s="387"/>
      <c r="F87" s="387"/>
      <c r="G87" s="387"/>
      <c r="H87" s="387"/>
      <c r="I87" s="387"/>
      <c r="J87" s="378"/>
      <c r="K87" s="378"/>
      <c r="L87" s="378"/>
      <c r="M87" s="466"/>
      <c r="N87" s="466"/>
      <c r="O87" s="466"/>
      <c r="P87" s="449"/>
      <c r="Q87" s="469"/>
      <c r="R87" s="469"/>
      <c r="S87" s="469"/>
      <c r="T87" s="378"/>
      <c r="U87" s="378"/>
      <c r="V87" s="468"/>
    </row>
    <row r="88" spans="1:22" ht="15">
      <c r="A88" s="30"/>
      <c r="B88" s="387"/>
      <c r="C88" s="387"/>
      <c r="D88" s="387"/>
      <c r="E88" s="387"/>
      <c r="F88" s="387"/>
      <c r="G88" s="387"/>
      <c r="H88" s="387"/>
      <c r="I88" s="387"/>
      <c r="J88" s="378" t="s">
        <v>93</v>
      </c>
      <c r="K88" s="378"/>
      <c r="L88" s="378"/>
      <c r="M88" s="466">
        <f>P74+(I75*K75)</f>
        <v>778429.6</v>
      </c>
      <c r="N88" s="466"/>
      <c r="O88" s="466"/>
      <c r="P88" s="449" t="str">
        <f>IF(M88&lt;Q88,"&lt;","&gt; ")</f>
        <v>&lt;</v>
      </c>
      <c r="Q88" s="469">
        <f>Q84</f>
        <v>1733362.465172044</v>
      </c>
      <c r="R88" s="469"/>
      <c r="S88" s="469"/>
      <c r="T88" s="378" t="str">
        <f t="shared" ref="T88" si="1">IF(M88&lt;Q88,"PASS","NOK ")</f>
        <v>PASS</v>
      </c>
      <c r="U88" s="378"/>
      <c r="V88" s="468"/>
    </row>
    <row r="89" spans="1:22" ht="15">
      <c r="A89" s="30"/>
      <c r="B89" s="387"/>
      <c r="C89" s="387"/>
      <c r="D89" s="387"/>
      <c r="E89" s="387"/>
      <c r="F89" s="387"/>
      <c r="G89" s="387"/>
      <c r="H89" s="387"/>
      <c r="I89" s="387"/>
      <c r="J89" s="378"/>
      <c r="K89" s="378"/>
      <c r="L89" s="378"/>
      <c r="M89" s="466"/>
      <c r="N89" s="466"/>
      <c r="O89" s="466"/>
      <c r="P89" s="449"/>
      <c r="Q89" s="469"/>
      <c r="R89" s="469"/>
      <c r="S89" s="469"/>
      <c r="T89" s="378"/>
      <c r="U89" s="378"/>
      <c r="V89" s="468"/>
    </row>
    <row r="90" spans="1:22" ht="15">
      <c r="A90" s="30"/>
      <c r="B90" s="387" t="s">
        <v>94</v>
      </c>
      <c r="C90" s="379"/>
      <c r="D90" s="379"/>
      <c r="E90" s="379"/>
      <c r="F90" s="379"/>
      <c r="G90" s="379"/>
      <c r="H90" s="379"/>
      <c r="I90" s="379"/>
      <c r="J90" s="379"/>
      <c r="K90" s="379"/>
      <c r="L90" s="379"/>
      <c r="M90" s="379"/>
      <c r="N90" s="379"/>
      <c r="O90" s="379"/>
      <c r="P90" s="379"/>
      <c r="Q90" s="379"/>
      <c r="R90" s="379"/>
      <c r="S90" s="379"/>
      <c r="T90" s="379"/>
      <c r="U90" s="379"/>
    </row>
    <row r="91" spans="1:22" ht="15">
      <c r="A91" s="30"/>
      <c r="B91" s="379"/>
      <c r="C91" s="379"/>
      <c r="D91" s="379"/>
      <c r="E91" s="379"/>
      <c r="F91" s="379"/>
      <c r="G91" s="379"/>
      <c r="H91" s="379"/>
      <c r="I91" s="379"/>
      <c r="J91" s="379"/>
      <c r="K91" s="379"/>
      <c r="L91" s="379"/>
      <c r="M91" s="379"/>
      <c r="N91" s="379"/>
      <c r="O91" s="379"/>
      <c r="P91" s="379"/>
      <c r="Q91" s="379"/>
      <c r="R91" s="379"/>
      <c r="S91" s="379"/>
      <c r="T91" s="379"/>
      <c r="U91" s="379"/>
    </row>
    <row r="92" spans="1:22" ht="15">
      <c r="A92" s="30"/>
      <c r="B92" s="30"/>
      <c r="C92" s="30"/>
      <c r="D92" s="30"/>
      <c r="E92" s="30"/>
      <c r="F92" s="30"/>
      <c r="G92" s="30"/>
      <c r="H92" s="30"/>
      <c r="I92" s="30"/>
      <c r="J92" s="30"/>
      <c r="K92" s="30"/>
      <c r="L92" s="30"/>
      <c r="M92" s="30"/>
      <c r="N92" s="30"/>
      <c r="O92" s="30"/>
      <c r="P92" s="30"/>
      <c r="Q92" s="30"/>
      <c r="R92" s="30"/>
      <c r="S92" s="30"/>
      <c r="T92" s="30"/>
      <c r="U92" s="30"/>
    </row>
    <row r="93" spans="1:22" ht="15">
      <c r="A93" s="30"/>
      <c r="B93" s="378"/>
      <c r="C93" s="378"/>
      <c r="D93" s="378"/>
      <c r="E93" s="378"/>
      <c r="F93" s="378"/>
      <c r="G93" s="378"/>
      <c r="H93" s="378"/>
      <c r="I93" s="378" t="s">
        <v>93</v>
      </c>
      <c r="J93" s="378"/>
      <c r="K93" s="466">
        <f>M88</f>
        <v>778429.6</v>
      </c>
      <c r="L93" s="466"/>
      <c r="M93" s="466"/>
      <c r="N93" s="466"/>
      <c r="O93" s="449" t="str">
        <f>IF(K93&lt;P93,"&lt;","&gt; ")</f>
        <v>&lt;</v>
      </c>
      <c r="P93" s="466">
        <f>Q88</f>
        <v>1733362.465172044</v>
      </c>
      <c r="Q93" s="466"/>
      <c r="R93" s="466"/>
      <c r="S93" s="466"/>
      <c r="T93" s="467" t="str">
        <f>IF(P93&lt;K93,"NOK","PASS ")</f>
        <v xml:space="preserve">PASS </v>
      </c>
      <c r="U93" s="30"/>
    </row>
    <row r="94" spans="1:22" ht="15">
      <c r="A94" s="30"/>
      <c r="B94" s="378"/>
      <c r="C94" s="378"/>
      <c r="D94" s="378"/>
      <c r="E94" s="378"/>
      <c r="F94" s="378"/>
      <c r="G94" s="378"/>
      <c r="H94" s="378"/>
      <c r="I94" s="378"/>
      <c r="J94" s="378"/>
      <c r="K94" s="466"/>
      <c r="L94" s="466"/>
      <c r="M94" s="466"/>
      <c r="N94" s="466"/>
      <c r="O94" s="449"/>
      <c r="P94" s="466"/>
      <c r="Q94" s="466"/>
      <c r="R94" s="466"/>
      <c r="S94" s="466"/>
      <c r="T94" s="467"/>
      <c r="U94" s="30"/>
    </row>
    <row r="95" spans="1:22" ht="15">
      <c r="A95" s="30"/>
      <c r="B95" s="30"/>
      <c r="C95" s="30"/>
      <c r="D95" s="30"/>
      <c r="E95" s="30"/>
      <c r="F95" s="30"/>
      <c r="G95" s="30"/>
      <c r="H95" s="30"/>
      <c r="I95" s="30"/>
      <c r="J95" s="30"/>
      <c r="K95" s="30"/>
      <c r="L95" s="30"/>
      <c r="M95" s="30"/>
      <c r="N95" s="30"/>
      <c r="O95" s="30"/>
      <c r="P95" s="30"/>
      <c r="Q95" s="30"/>
      <c r="R95" s="30"/>
      <c r="S95" s="30"/>
      <c r="T95" s="30"/>
      <c r="U95" s="30"/>
    </row>
    <row r="133" spans="6:6" ht="399">
      <c r="F133" s="155" t="s">
        <v>886</v>
      </c>
    </row>
    <row r="190" spans="6:6" ht="399">
      <c r="F190" s="155" t="s">
        <v>886</v>
      </c>
    </row>
  </sheetData>
  <mergeCells count="111">
    <mergeCell ref="U52:V53"/>
    <mergeCell ref="P71:S71"/>
    <mergeCell ref="P72:S72"/>
    <mergeCell ref="P73:S73"/>
    <mergeCell ref="C74:D74"/>
    <mergeCell ref="E74:F74"/>
    <mergeCell ref="K74:L74"/>
    <mergeCell ref="C73:N73"/>
    <mergeCell ref="G74:H74"/>
    <mergeCell ref="I74:J74"/>
    <mergeCell ref="N53:O53"/>
    <mergeCell ref="P74:S74"/>
    <mergeCell ref="B54:U69"/>
    <mergeCell ref="T52:T53"/>
    <mergeCell ref="B71:K71"/>
    <mergeCell ref="M84:O85"/>
    <mergeCell ref="B82:U83"/>
    <mergeCell ref="D79:I79"/>
    <mergeCell ref="J79:K79"/>
    <mergeCell ref="C76:D76"/>
    <mergeCell ref="E76:F76"/>
    <mergeCell ref="G76:H76"/>
    <mergeCell ref="K75:L75"/>
    <mergeCell ref="K76:L76"/>
    <mergeCell ref="T84:U85"/>
    <mergeCell ref="L80:M81"/>
    <mergeCell ref="C75:D75"/>
    <mergeCell ref="E75:F75"/>
    <mergeCell ref="G75:H75"/>
    <mergeCell ref="C77:C79"/>
    <mergeCell ref="P77:S77"/>
    <mergeCell ref="P78:S78"/>
    <mergeCell ref="L77:M77"/>
    <mergeCell ref="L78:M78"/>
    <mergeCell ref="L79:M79"/>
    <mergeCell ref="P79:S79"/>
    <mergeCell ref="I75:J75"/>
    <mergeCell ref="J80:K81"/>
    <mergeCell ref="D78:I78"/>
    <mergeCell ref="B90:U91"/>
    <mergeCell ref="B93:H94"/>
    <mergeCell ref="I93:J94"/>
    <mergeCell ref="K93:N94"/>
    <mergeCell ref="O93:O94"/>
    <mergeCell ref="P93:S94"/>
    <mergeCell ref="T93:T94"/>
    <mergeCell ref="V84:V85"/>
    <mergeCell ref="Q86:S87"/>
    <mergeCell ref="Q88:S89"/>
    <mergeCell ref="J84:L85"/>
    <mergeCell ref="J86:L87"/>
    <mergeCell ref="M88:O89"/>
    <mergeCell ref="P86:P87"/>
    <mergeCell ref="P88:P89"/>
    <mergeCell ref="M86:O87"/>
    <mergeCell ref="V86:V87"/>
    <mergeCell ref="T86:U87"/>
    <mergeCell ref="V88:V89"/>
    <mergeCell ref="T88:U89"/>
    <mergeCell ref="J88:L89"/>
    <mergeCell ref="Q84:S85"/>
    <mergeCell ref="P84:P85"/>
    <mergeCell ref="B84:I89"/>
    <mergeCell ref="J78:K78"/>
    <mergeCell ref="D77:I77"/>
    <mergeCell ref="J77:K77"/>
    <mergeCell ref="D80:I81"/>
    <mergeCell ref="P75:S75"/>
    <mergeCell ref="B15:U34"/>
    <mergeCell ref="B35:U37"/>
    <mergeCell ref="B38:P44"/>
    <mergeCell ref="F6:Q6"/>
    <mergeCell ref="A1:E6"/>
    <mergeCell ref="R1:V6"/>
    <mergeCell ref="F1:Q5"/>
    <mergeCell ref="P76:S76"/>
    <mergeCell ref="I76:J76"/>
    <mergeCell ref="F51:Q51"/>
    <mergeCell ref="B70:K70"/>
    <mergeCell ref="P70:S70"/>
    <mergeCell ref="C72:M72"/>
    <mergeCell ref="R52:R53"/>
    <mergeCell ref="S52:S53"/>
    <mergeCell ref="A53:E53"/>
    <mergeCell ref="G53:H53"/>
    <mergeCell ref="I53:J53"/>
    <mergeCell ref="K53:L53"/>
    <mergeCell ref="F46:Q50"/>
    <mergeCell ref="A52:E52"/>
    <mergeCell ref="G52:H52"/>
    <mergeCell ref="I52:J52"/>
    <mergeCell ref="K52:L52"/>
    <mergeCell ref="N52:O52"/>
    <mergeCell ref="R7:R8"/>
    <mergeCell ref="S7:S8"/>
    <mergeCell ref="U7:V8"/>
    <mergeCell ref="A8:E8"/>
    <mergeCell ref="G8:H8"/>
    <mergeCell ref="I8:J8"/>
    <mergeCell ref="K8:L8"/>
    <mergeCell ref="N8:O8"/>
    <mergeCell ref="A7:E7"/>
    <mergeCell ref="G7:H7"/>
    <mergeCell ref="I7:J7"/>
    <mergeCell ref="K7:L7"/>
    <mergeCell ref="N7:O7"/>
    <mergeCell ref="A46:E51"/>
    <mergeCell ref="R46:V51"/>
    <mergeCell ref="T7:T8"/>
    <mergeCell ref="B12:U14"/>
    <mergeCell ref="B9:M11"/>
  </mergeCells>
  <conditionalFormatting sqref="T93:T94">
    <cfRule type="containsText" dxfId="59" priority="0" operator="containsText" text="NOK">
      <formula>NOT(ISERROR(SEARCH("NOK",T93)))</formula>
    </cfRule>
    <cfRule type="containsText" dxfId="58" priority="1" operator="containsText" text="PASS">
      <formula>NOT(ISERROR(SEARCH("PASS",T93)))</formula>
    </cfRule>
    <cfRule type="containsText" dxfId="57" priority="3" operator="containsText" text="OK">
      <formula>NOT(ISERROR(SEARCH("OK",T93)))</formula>
    </cfRule>
  </conditionalFormatting>
  <conditionalFormatting sqref="T84:U89">
    <cfRule type="containsText" dxfId="56" priority="2" operator="containsText" text="PASS">
      <formula>NOT(ISERROR(SEARCH("PASS",T84)))</formula>
    </cfRule>
  </conditionalFormatting>
  <conditionalFormatting sqref="V84:V89">
    <cfRule type="containsText" dxfId="55" priority="4" operator="containsText" text="NOK">
      <formula>NOT(ISERROR(SEARCH("NOK",V84)))</formula>
    </cfRule>
    <cfRule type="containsText" dxfId="54" priority="5" operator="containsText" text="OK">
      <formula>NOT(ISERROR(SEARCH("OK",V84)))</formula>
    </cfRule>
  </conditionalFormatting>
  <printOptions horizontalCentered="1"/>
  <pageMargins left="9.8425196850393706E-2" right="9.8425196850393706E-2" top="0.19685039370078741" bottom="0" header="0.11811023622047245" footer="0.11811023622047245"/>
  <pageSetup paperSize="9" scale="72" orientation="portrait" r:id="rId1"/>
  <rowBreaks count="2" manualBreakCount="2">
    <brk id="45" max="16383" man="1"/>
    <brk id="94" max="2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209"/>
  <sheetViews>
    <sheetView zoomScale="110" zoomScaleNormal="110" workbookViewId="0">
      <selection activeCell="O198" sqref="O198"/>
    </sheetView>
  </sheetViews>
  <sheetFormatPr defaultRowHeight="14.25"/>
  <cols>
    <col min="1" max="16" width="4.375" customWidth="1"/>
    <col min="17" max="17" width="11.625" customWidth="1"/>
    <col min="18" max="18" width="4.375" customWidth="1"/>
    <col min="19" max="19" width="8.625" customWidth="1"/>
    <col min="20" max="22" width="4.375" customWidth="1"/>
    <col min="23" max="23" width="12.25" bestFit="1" customWidth="1"/>
    <col min="24" max="24" width="13" bestFit="1" customWidth="1"/>
    <col min="25" max="25" width="12" bestFit="1" customWidth="1"/>
  </cols>
  <sheetData>
    <row r="1" spans="1:22" ht="15" customHeight="1">
      <c r="A1" s="396"/>
      <c r="B1" s="396"/>
      <c r="C1" s="396"/>
      <c r="D1" s="396"/>
      <c r="E1" s="396"/>
      <c r="F1" s="394" t="s">
        <v>0</v>
      </c>
      <c r="G1" s="394"/>
      <c r="H1" s="394"/>
      <c r="I1" s="394"/>
      <c r="J1" s="394"/>
      <c r="K1" s="394"/>
      <c r="L1" s="394"/>
      <c r="M1" s="394"/>
      <c r="N1" s="394"/>
      <c r="O1" s="394"/>
      <c r="P1" s="394"/>
      <c r="Q1" s="394"/>
      <c r="R1" s="396"/>
      <c r="S1" s="396"/>
      <c r="T1" s="396"/>
      <c r="U1" s="396"/>
      <c r="V1" s="396"/>
    </row>
    <row r="2" spans="1:22" ht="15" customHeight="1">
      <c r="A2" s="396"/>
      <c r="B2" s="396"/>
      <c r="C2" s="396"/>
      <c r="D2" s="396"/>
      <c r="E2" s="396"/>
      <c r="F2" s="394"/>
      <c r="G2" s="394"/>
      <c r="H2" s="394"/>
      <c r="I2" s="394"/>
      <c r="J2" s="394"/>
      <c r="K2" s="394"/>
      <c r="L2" s="394"/>
      <c r="M2" s="394"/>
      <c r="N2" s="394"/>
      <c r="O2" s="394"/>
      <c r="P2" s="394"/>
      <c r="Q2" s="394"/>
      <c r="R2" s="396"/>
      <c r="S2" s="396"/>
      <c r="T2" s="396"/>
      <c r="U2" s="396"/>
      <c r="V2" s="396"/>
    </row>
    <row r="3" spans="1:22" ht="15" customHeight="1">
      <c r="A3" s="396"/>
      <c r="B3" s="396"/>
      <c r="C3" s="396"/>
      <c r="D3" s="396"/>
      <c r="E3" s="396"/>
      <c r="F3" s="394"/>
      <c r="G3" s="394"/>
      <c r="H3" s="394"/>
      <c r="I3" s="394"/>
      <c r="J3" s="394"/>
      <c r="K3" s="394"/>
      <c r="L3" s="394"/>
      <c r="M3" s="394"/>
      <c r="N3" s="394"/>
      <c r="O3" s="394"/>
      <c r="P3" s="394"/>
      <c r="Q3" s="394"/>
      <c r="R3" s="396"/>
      <c r="S3" s="396"/>
      <c r="T3" s="396"/>
      <c r="U3" s="396"/>
      <c r="V3" s="396"/>
    </row>
    <row r="4" spans="1:22" ht="15" customHeight="1">
      <c r="A4" s="396"/>
      <c r="B4" s="396"/>
      <c r="C4" s="396"/>
      <c r="D4" s="396"/>
      <c r="E4" s="396"/>
      <c r="F4" s="394"/>
      <c r="G4" s="394"/>
      <c r="H4" s="394"/>
      <c r="I4" s="394"/>
      <c r="J4" s="394"/>
      <c r="K4" s="394"/>
      <c r="L4" s="394"/>
      <c r="M4" s="394"/>
      <c r="N4" s="394"/>
      <c r="O4" s="394"/>
      <c r="P4" s="394"/>
      <c r="Q4" s="394"/>
      <c r="R4" s="396"/>
      <c r="S4" s="396"/>
      <c r="T4" s="396"/>
      <c r="U4" s="396"/>
      <c r="V4" s="396"/>
    </row>
    <row r="5" spans="1:22" ht="15" customHeight="1">
      <c r="A5" s="396"/>
      <c r="B5" s="396"/>
      <c r="C5" s="396"/>
      <c r="D5" s="396"/>
      <c r="E5" s="396"/>
      <c r="F5" s="402" t="s">
        <v>209</v>
      </c>
      <c r="G5" s="402"/>
      <c r="H5" s="402"/>
      <c r="I5" s="402"/>
      <c r="J5" s="402"/>
      <c r="K5" s="402"/>
      <c r="L5" s="402"/>
      <c r="M5" s="402"/>
      <c r="N5" s="402"/>
      <c r="O5" s="402"/>
      <c r="P5" s="402"/>
      <c r="Q5" s="402"/>
      <c r="R5" s="396"/>
      <c r="S5" s="396"/>
      <c r="T5" s="396"/>
      <c r="U5" s="396"/>
      <c r="V5" s="396"/>
    </row>
    <row r="6" spans="1:22">
      <c r="A6" s="402" t="e">
        <f>'Wind overturning stability'!#REF!</f>
        <v>#REF!</v>
      </c>
      <c r="B6" s="402"/>
      <c r="C6" s="402"/>
      <c r="D6" s="402"/>
      <c r="E6" s="402"/>
      <c r="F6" s="490" t="e">
        <f>'Wind overturning stability'!#REF!</f>
        <v>#REF!</v>
      </c>
      <c r="G6" s="490"/>
      <c r="H6" s="490"/>
      <c r="I6" s="490"/>
      <c r="J6" s="490"/>
      <c r="K6" s="490"/>
      <c r="L6" s="490"/>
      <c r="M6" s="490"/>
      <c r="N6" s="490"/>
      <c r="O6" s="490"/>
      <c r="P6" s="490"/>
      <c r="Q6" s="490"/>
      <c r="R6" s="402" t="s">
        <v>207</v>
      </c>
      <c r="S6" s="402"/>
      <c r="T6" s="402"/>
      <c r="U6" s="402"/>
      <c r="V6" s="402"/>
    </row>
    <row r="7" spans="1:22">
      <c r="A7" s="402"/>
      <c r="B7" s="402"/>
      <c r="C7" s="402"/>
      <c r="D7" s="402"/>
      <c r="E7" s="402"/>
      <c r="F7" s="490"/>
      <c r="G7" s="490"/>
      <c r="H7" s="490"/>
      <c r="I7" s="490"/>
      <c r="J7" s="490"/>
      <c r="K7" s="490"/>
      <c r="L7" s="490"/>
      <c r="M7" s="490"/>
      <c r="N7" s="490"/>
      <c r="O7" s="490"/>
      <c r="P7" s="490"/>
      <c r="Q7" s="490"/>
      <c r="R7" s="402"/>
      <c r="S7" s="402"/>
      <c r="T7" s="402"/>
      <c r="U7" s="402"/>
      <c r="V7" s="402"/>
    </row>
    <row r="9" spans="1:22">
      <c r="B9" s="514" t="s">
        <v>101</v>
      </c>
      <c r="C9" s="514"/>
      <c r="D9" s="514"/>
      <c r="E9" s="514"/>
      <c r="F9" s="514"/>
      <c r="G9" s="514"/>
      <c r="H9" s="514"/>
    </row>
    <row r="10" spans="1:22">
      <c r="B10" s="514"/>
      <c r="C10" s="514"/>
      <c r="D10" s="514"/>
      <c r="E10" s="514"/>
      <c r="F10" s="514"/>
      <c r="G10" s="514"/>
      <c r="H10" s="514"/>
    </row>
    <row r="11" spans="1:22">
      <c r="B11" s="515" t="s">
        <v>95</v>
      </c>
      <c r="C11" s="516"/>
      <c r="D11" s="516"/>
      <c r="E11" s="516"/>
      <c r="F11" s="516"/>
      <c r="G11" s="516"/>
      <c r="H11" s="516"/>
      <c r="I11" s="516"/>
      <c r="J11" s="516"/>
      <c r="K11" s="516"/>
      <c r="L11" s="516"/>
      <c r="M11" s="516"/>
      <c r="N11" s="516"/>
      <c r="O11" s="516"/>
      <c r="P11" s="516"/>
      <c r="Q11" s="516"/>
      <c r="R11" s="516"/>
      <c r="S11" s="516"/>
      <c r="T11" s="516"/>
      <c r="U11" s="516"/>
    </row>
    <row r="12" spans="1:22">
      <c r="B12" s="516"/>
      <c r="C12" s="516"/>
      <c r="D12" s="516"/>
      <c r="E12" s="516"/>
      <c r="F12" s="516"/>
      <c r="G12" s="516"/>
      <c r="H12" s="516"/>
      <c r="I12" s="516"/>
      <c r="J12" s="516"/>
      <c r="K12" s="516"/>
      <c r="L12" s="516"/>
      <c r="M12" s="516"/>
      <c r="N12" s="516"/>
      <c r="O12" s="516"/>
      <c r="P12" s="516"/>
      <c r="Q12" s="516"/>
      <c r="R12" s="516"/>
      <c r="S12" s="516"/>
      <c r="T12" s="516"/>
      <c r="U12" s="516"/>
    </row>
    <row r="13" spans="1:22">
      <c r="B13" s="516"/>
      <c r="C13" s="516"/>
      <c r="D13" s="516"/>
      <c r="E13" s="516"/>
      <c r="F13" s="516"/>
      <c r="G13" s="516"/>
      <c r="H13" s="516"/>
      <c r="I13" s="516"/>
      <c r="J13" s="516"/>
      <c r="K13" s="516"/>
      <c r="L13" s="516"/>
      <c r="M13" s="516"/>
      <c r="N13" s="516"/>
      <c r="O13" s="516"/>
      <c r="P13" s="516"/>
      <c r="Q13" s="516"/>
      <c r="R13" s="516"/>
      <c r="S13" s="516"/>
      <c r="T13" s="516"/>
      <c r="U13" s="516"/>
    </row>
    <row r="14" spans="1:22">
      <c r="B14" s="516"/>
      <c r="C14" s="516"/>
      <c r="D14" s="516"/>
      <c r="E14" s="516"/>
      <c r="F14" s="516"/>
      <c r="G14" s="516"/>
      <c r="H14" s="516"/>
      <c r="I14" s="516"/>
      <c r="J14" s="516"/>
      <c r="K14" s="516"/>
      <c r="L14" s="516"/>
      <c r="M14" s="516"/>
      <c r="N14" s="516"/>
      <c r="O14" s="516"/>
      <c r="P14" s="516"/>
      <c r="Q14" s="516"/>
      <c r="R14" s="516"/>
      <c r="S14" s="516"/>
      <c r="T14" s="516"/>
      <c r="U14" s="516"/>
    </row>
    <row r="15" spans="1:22">
      <c r="B15" s="516"/>
      <c r="C15" s="516"/>
      <c r="D15" s="516"/>
      <c r="E15" s="516"/>
      <c r="F15" s="516"/>
      <c r="G15" s="516"/>
      <c r="H15" s="516"/>
      <c r="I15" s="516"/>
      <c r="J15" s="516"/>
      <c r="K15" s="516"/>
      <c r="L15" s="516"/>
      <c r="M15" s="516"/>
      <c r="N15" s="516"/>
      <c r="O15" s="516"/>
      <c r="P15" s="516"/>
      <c r="Q15" s="516"/>
      <c r="R15" s="516"/>
      <c r="S15" s="516"/>
      <c r="T15" s="516"/>
      <c r="U15" s="516"/>
    </row>
    <row r="16" spans="1:22">
      <c r="B16" s="516"/>
      <c r="C16" s="516"/>
      <c r="D16" s="516"/>
      <c r="E16" s="516"/>
      <c r="F16" s="516"/>
      <c r="G16" s="516"/>
      <c r="H16" s="516"/>
      <c r="I16" s="516"/>
      <c r="J16" s="516"/>
      <c r="K16" s="516"/>
      <c r="L16" s="516"/>
      <c r="M16" s="516"/>
      <c r="N16" s="516"/>
      <c r="O16" s="516"/>
      <c r="P16" s="516"/>
      <c r="Q16" s="516"/>
      <c r="R16" s="516"/>
      <c r="S16" s="516"/>
      <c r="T16" s="516"/>
      <c r="U16" s="516"/>
    </row>
    <row r="17" spans="2:21">
      <c r="B17" s="516"/>
      <c r="C17" s="516"/>
      <c r="D17" s="516"/>
      <c r="E17" s="516"/>
      <c r="F17" s="516"/>
      <c r="G17" s="516"/>
      <c r="H17" s="516"/>
      <c r="I17" s="516"/>
      <c r="J17" s="516"/>
      <c r="K17" s="516"/>
      <c r="L17" s="516"/>
      <c r="M17" s="516"/>
      <c r="N17" s="516"/>
      <c r="O17" s="516"/>
      <c r="P17" s="516"/>
      <c r="Q17" s="516"/>
      <c r="R17" s="516"/>
      <c r="S17" s="516"/>
      <c r="T17" s="516"/>
      <c r="U17" s="516"/>
    </row>
    <row r="18" spans="2:21">
      <c r="B18" s="353"/>
      <c r="C18" s="353"/>
      <c r="D18" s="353"/>
      <c r="E18" s="353"/>
      <c r="F18" s="353"/>
      <c r="G18" s="353"/>
      <c r="H18" s="353"/>
      <c r="I18" s="353"/>
      <c r="J18" s="353"/>
      <c r="K18" s="353"/>
      <c r="L18" s="353"/>
      <c r="M18" s="353"/>
      <c r="N18" s="353"/>
      <c r="O18" s="353"/>
      <c r="P18" s="353"/>
      <c r="Q18" s="353"/>
      <c r="R18" s="353"/>
      <c r="S18" s="353"/>
      <c r="T18" s="353"/>
      <c r="U18" s="353"/>
    </row>
    <row r="19" spans="2:21">
      <c r="B19" s="353"/>
      <c r="C19" s="353"/>
      <c r="D19" s="353"/>
      <c r="E19" s="353"/>
      <c r="F19" s="353"/>
      <c r="G19" s="353"/>
      <c r="H19" s="353"/>
      <c r="I19" s="353"/>
      <c r="J19" s="353"/>
      <c r="K19" s="353"/>
      <c r="L19" s="353"/>
      <c r="M19" s="353"/>
      <c r="N19" s="353"/>
      <c r="O19" s="353"/>
      <c r="P19" s="353"/>
      <c r="Q19" s="353"/>
      <c r="R19" s="353"/>
      <c r="S19" s="353"/>
      <c r="T19" s="353"/>
      <c r="U19" s="353"/>
    </row>
    <row r="20" spans="2:21">
      <c r="B20" s="353"/>
      <c r="C20" s="353"/>
      <c r="D20" s="353"/>
      <c r="E20" s="353"/>
      <c r="F20" s="353"/>
      <c r="G20" s="353"/>
      <c r="H20" s="353"/>
      <c r="I20" s="353"/>
      <c r="J20" s="353"/>
      <c r="K20" s="353"/>
      <c r="L20" s="353"/>
      <c r="M20" s="353"/>
      <c r="N20" s="353"/>
      <c r="O20" s="353"/>
      <c r="P20" s="353"/>
      <c r="Q20" s="353"/>
      <c r="R20" s="353"/>
      <c r="S20" s="353"/>
      <c r="T20" s="353"/>
      <c r="U20" s="353"/>
    </row>
    <row r="21" spans="2:21">
      <c r="B21" s="353"/>
      <c r="C21" s="353"/>
      <c r="D21" s="353"/>
      <c r="E21" s="353"/>
      <c r="F21" s="353"/>
      <c r="G21" s="353"/>
      <c r="H21" s="353"/>
      <c r="I21" s="353"/>
      <c r="J21" s="353"/>
      <c r="K21" s="353"/>
      <c r="L21" s="353"/>
      <c r="M21" s="353"/>
      <c r="N21" s="353"/>
      <c r="O21" s="353"/>
      <c r="P21" s="353"/>
      <c r="Q21" s="353"/>
      <c r="R21" s="353"/>
      <c r="S21" s="353"/>
      <c r="T21" s="353"/>
      <c r="U21" s="353"/>
    </row>
    <row r="22" spans="2:21">
      <c r="B22" s="353"/>
      <c r="C22" s="353"/>
      <c r="D22" s="353"/>
      <c r="E22" s="353"/>
      <c r="F22" s="353"/>
      <c r="G22" s="353"/>
      <c r="H22" s="353"/>
      <c r="I22" s="353"/>
      <c r="J22" s="353"/>
      <c r="K22" s="353"/>
      <c r="L22" s="353"/>
      <c r="M22" s="353"/>
      <c r="N22" s="353"/>
      <c r="O22" s="353"/>
      <c r="P22" s="353"/>
      <c r="Q22" s="353"/>
      <c r="R22" s="353"/>
      <c r="S22" s="353"/>
      <c r="T22" s="353"/>
      <c r="U22" s="353"/>
    </row>
    <row r="23" spans="2:21">
      <c r="B23" s="353"/>
      <c r="C23" s="353"/>
      <c r="D23" s="353"/>
      <c r="E23" s="353"/>
      <c r="F23" s="353"/>
      <c r="G23" s="353"/>
      <c r="H23" s="353"/>
      <c r="I23" s="353"/>
      <c r="J23" s="353"/>
      <c r="K23" s="353"/>
      <c r="L23" s="353"/>
      <c r="M23" s="353"/>
      <c r="N23" s="353"/>
      <c r="O23" s="353"/>
      <c r="P23" s="353"/>
      <c r="Q23" s="353"/>
      <c r="R23" s="353"/>
      <c r="S23" s="353"/>
      <c r="T23" s="353"/>
      <c r="U23" s="353"/>
    </row>
    <row r="24" spans="2:21">
      <c r="B24" s="353"/>
      <c r="C24" s="353"/>
      <c r="D24" s="353"/>
      <c r="E24" s="353"/>
      <c r="F24" s="353"/>
      <c r="G24" s="353"/>
      <c r="H24" s="353"/>
      <c r="I24" s="353"/>
      <c r="J24" s="353"/>
      <c r="K24" s="353"/>
      <c r="L24" s="353"/>
      <c r="M24" s="353"/>
      <c r="N24" s="353"/>
      <c r="O24" s="353"/>
      <c r="P24" s="353"/>
      <c r="Q24" s="353"/>
      <c r="R24" s="353"/>
      <c r="S24" s="353"/>
      <c r="T24" s="353"/>
      <c r="U24" s="353"/>
    </row>
    <row r="25" spans="2:21">
      <c r="B25" s="353"/>
      <c r="C25" s="353"/>
      <c r="D25" s="353"/>
      <c r="E25" s="353"/>
      <c r="F25" s="353"/>
      <c r="G25" s="353"/>
      <c r="H25" s="353"/>
      <c r="I25" s="353"/>
      <c r="J25" s="353"/>
      <c r="K25" s="353"/>
      <c r="L25" s="353"/>
      <c r="M25" s="353"/>
      <c r="N25" s="353"/>
      <c r="O25" s="353"/>
      <c r="P25" s="353"/>
      <c r="Q25" s="353"/>
      <c r="R25" s="353"/>
      <c r="S25" s="353"/>
      <c r="T25" s="353"/>
      <c r="U25" s="353"/>
    </row>
    <row r="26" spans="2:21">
      <c r="B26" s="353"/>
      <c r="C26" s="353"/>
      <c r="D26" s="353"/>
      <c r="E26" s="353"/>
      <c r="F26" s="353"/>
      <c r="G26" s="353"/>
      <c r="H26" s="353"/>
      <c r="I26" s="353"/>
      <c r="J26" s="353"/>
      <c r="K26" s="353"/>
      <c r="L26" s="353"/>
      <c r="M26" s="353"/>
      <c r="N26" s="353"/>
      <c r="O26" s="353"/>
      <c r="P26" s="353"/>
      <c r="Q26" s="353"/>
      <c r="R26" s="353"/>
      <c r="S26" s="353"/>
      <c r="T26" s="353"/>
      <c r="U26" s="353"/>
    </row>
    <row r="27" spans="2:21">
      <c r="B27" s="353"/>
      <c r="C27" s="353"/>
      <c r="D27" s="353"/>
      <c r="E27" s="353"/>
      <c r="F27" s="353"/>
      <c r="G27" s="353"/>
      <c r="H27" s="353"/>
      <c r="I27" s="353"/>
      <c r="J27" s="353"/>
      <c r="K27" s="353"/>
      <c r="L27" s="353"/>
      <c r="M27" s="353"/>
      <c r="N27" s="353"/>
      <c r="O27" s="353"/>
      <c r="P27" s="353"/>
      <c r="Q27" s="353"/>
      <c r="R27" s="353"/>
      <c r="S27" s="353"/>
      <c r="T27" s="353"/>
      <c r="U27" s="353"/>
    </row>
    <row r="28" spans="2:21">
      <c r="B28" s="400" t="s">
        <v>96</v>
      </c>
      <c r="C28" s="400"/>
      <c r="D28" s="400"/>
      <c r="E28" s="400"/>
      <c r="F28" s="400"/>
      <c r="G28" s="400"/>
      <c r="H28" s="400"/>
      <c r="I28" s="400"/>
      <c r="J28" s="400"/>
    </row>
    <row r="29" spans="2:21">
      <c r="B29" s="400"/>
      <c r="C29" s="400"/>
      <c r="D29" s="400"/>
      <c r="E29" s="400"/>
      <c r="F29" s="400"/>
      <c r="G29" s="400"/>
      <c r="H29" s="400"/>
      <c r="I29" s="400"/>
      <c r="J29" s="400"/>
    </row>
    <row r="30" spans="2:21">
      <c r="B30" s="353"/>
      <c r="C30" s="353"/>
      <c r="D30" s="353"/>
      <c r="E30" s="353"/>
      <c r="F30" s="353"/>
      <c r="G30" s="353"/>
      <c r="H30" s="353"/>
      <c r="I30" s="353"/>
      <c r="J30" s="353"/>
      <c r="K30" s="353"/>
      <c r="L30" s="353"/>
      <c r="M30" s="353"/>
      <c r="N30" s="353"/>
      <c r="O30" s="353"/>
      <c r="P30" s="353"/>
      <c r="Q30" s="353"/>
      <c r="R30" s="353"/>
      <c r="S30" s="353"/>
      <c r="T30" s="353"/>
      <c r="U30" s="353"/>
    </row>
    <row r="31" spans="2:21">
      <c r="B31" s="353"/>
      <c r="C31" s="353"/>
      <c r="D31" s="353"/>
      <c r="E31" s="353"/>
      <c r="F31" s="353"/>
      <c r="G31" s="353"/>
      <c r="H31" s="353"/>
      <c r="I31" s="353"/>
      <c r="J31" s="353"/>
      <c r="K31" s="353"/>
      <c r="L31" s="353"/>
      <c r="M31" s="353"/>
      <c r="N31" s="353"/>
      <c r="O31" s="353"/>
      <c r="P31" s="353"/>
      <c r="Q31" s="353"/>
      <c r="R31" s="353"/>
      <c r="S31" s="353"/>
      <c r="T31" s="353"/>
      <c r="U31" s="353"/>
    </row>
    <row r="32" spans="2:21">
      <c r="B32" s="353"/>
      <c r="C32" s="353"/>
      <c r="D32" s="353"/>
      <c r="E32" s="353"/>
      <c r="F32" s="353"/>
      <c r="G32" s="353"/>
      <c r="H32" s="353"/>
      <c r="I32" s="353"/>
      <c r="J32" s="353"/>
      <c r="K32" s="353"/>
      <c r="L32" s="353"/>
      <c r="M32" s="353"/>
      <c r="N32" s="353"/>
      <c r="O32" s="353"/>
      <c r="P32" s="353"/>
      <c r="Q32" s="353"/>
      <c r="R32" s="353"/>
      <c r="S32" s="353"/>
      <c r="T32" s="353"/>
      <c r="U32" s="353"/>
    </row>
    <row r="33" spans="1:22">
      <c r="B33" s="353"/>
      <c r="C33" s="353"/>
      <c r="D33" s="353"/>
      <c r="E33" s="353"/>
      <c r="F33" s="353"/>
      <c r="G33" s="353"/>
      <c r="H33" s="353"/>
      <c r="I33" s="353"/>
      <c r="J33" s="353"/>
      <c r="K33" s="353"/>
      <c r="L33" s="353"/>
      <c r="M33" s="353"/>
      <c r="N33" s="353"/>
      <c r="O33" s="353"/>
      <c r="P33" s="353"/>
      <c r="Q33" s="353"/>
      <c r="R33" s="353"/>
      <c r="S33" s="353"/>
      <c r="T33" s="353"/>
      <c r="U33" s="353"/>
    </row>
    <row r="34" spans="1:22">
      <c r="B34" s="353"/>
      <c r="C34" s="353"/>
      <c r="D34" s="353"/>
      <c r="E34" s="353"/>
      <c r="F34" s="353"/>
      <c r="G34" s="353"/>
      <c r="H34" s="353"/>
      <c r="I34" s="353"/>
      <c r="J34" s="353"/>
      <c r="K34" s="353"/>
      <c r="L34" s="353"/>
      <c r="M34" s="353"/>
      <c r="N34" s="353"/>
      <c r="O34" s="353"/>
      <c r="P34" s="353"/>
      <c r="Q34" s="353"/>
      <c r="R34" s="353"/>
      <c r="S34" s="353"/>
      <c r="T34" s="353"/>
      <c r="U34" s="353"/>
    </row>
    <row r="35" spans="1:22">
      <c r="B35" s="353"/>
      <c r="C35" s="353"/>
      <c r="D35" s="353"/>
      <c r="E35" s="353"/>
      <c r="F35" s="353"/>
      <c r="G35" s="353"/>
      <c r="H35" s="353"/>
      <c r="I35" s="353"/>
      <c r="J35" s="353"/>
      <c r="K35" s="353"/>
      <c r="L35" s="353"/>
      <c r="M35" s="353"/>
      <c r="N35" s="353"/>
      <c r="O35" s="353"/>
      <c r="P35" s="353"/>
      <c r="Q35" s="353"/>
      <c r="R35" s="353"/>
      <c r="S35" s="353"/>
      <c r="T35" s="353"/>
      <c r="U35" s="353"/>
    </row>
    <row r="36" spans="1:22">
      <c r="B36" s="353"/>
      <c r="C36" s="353"/>
      <c r="D36" s="353"/>
      <c r="E36" s="353"/>
      <c r="F36" s="353"/>
      <c r="G36" s="353"/>
      <c r="H36" s="353"/>
      <c r="I36" s="353"/>
      <c r="J36" s="353"/>
      <c r="K36" s="353"/>
      <c r="L36" s="353"/>
      <c r="M36" s="353"/>
      <c r="N36" s="353"/>
      <c r="O36" s="353"/>
      <c r="P36" s="353"/>
      <c r="Q36" s="353"/>
      <c r="R36" s="353"/>
      <c r="S36" s="353"/>
      <c r="T36" s="353"/>
      <c r="U36" s="353"/>
    </row>
    <row r="37" spans="1:22">
      <c r="B37" s="353"/>
      <c r="C37" s="353"/>
      <c r="D37" s="353"/>
      <c r="E37" s="353"/>
      <c r="F37" s="353"/>
      <c r="G37" s="353"/>
      <c r="H37" s="353"/>
      <c r="I37" s="353"/>
      <c r="J37" s="353"/>
      <c r="K37" s="353"/>
      <c r="L37" s="353"/>
      <c r="M37" s="353"/>
      <c r="N37" s="353"/>
      <c r="O37" s="353"/>
      <c r="P37" s="353"/>
      <c r="Q37" s="353"/>
      <c r="R37" s="353"/>
      <c r="S37" s="353"/>
      <c r="T37" s="353"/>
      <c r="U37" s="353"/>
    </row>
    <row r="38" spans="1:22">
      <c r="B38" s="353"/>
      <c r="C38" s="353"/>
      <c r="D38" s="353"/>
      <c r="E38" s="353"/>
      <c r="F38" s="353"/>
      <c r="G38" s="353"/>
      <c r="H38" s="353"/>
      <c r="I38" s="353"/>
      <c r="J38" s="353"/>
      <c r="K38" s="353"/>
      <c r="L38" s="353"/>
      <c r="M38" s="353"/>
      <c r="N38" s="353"/>
      <c r="O38" s="353"/>
      <c r="P38" s="353"/>
      <c r="Q38" s="353"/>
      <c r="R38" s="353"/>
      <c r="S38" s="353"/>
      <c r="T38" s="353"/>
      <c r="U38" s="353"/>
    </row>
    <row r="39" spans="1:22">
      <c r="B39" s="353"/>
      <c r="C39" s="353"/>
      <c r="D39" s="353"/>
      <c r="E39" s="353"/>
      <c r="F39" s="353"/>
      <c r="G39" s="353"/>
      <c r="H39" s="353"/>
      <c r="I39" s="353"/>
      <c r="J39" s="353"/>
      <c r="K39" s="353"/>
      <c r="L39" s="353"/>
      <c r="M39" s="353"/>
      <c r="N39" s="353"/>
      <c r="O39" s="353"/>
      <c r="P39" s="353"/>
      <c r="Q39" s="353"/>
      <c r="R39" s="353"/>
      <c r="S39" s="353"/>
      <c r="T39" s="353"/>
      <c r="U39" s="353"/>
    </row>
    <row r="40" spans="1:22">
      <c r="B40" s="511" t="s">
        <v>97</v>
      </c>
      <c r="C40" s="512"/>
      <c r="D40" s="512"/>
      <c r="E40" s="512"/>
      <c r="F40" s="512"/>
      <c r="G40" s="512"/>
      <c r="H40" s="512"/>
      <c r="I40" s="512"/>
      <c r="J40" s="512"/>
      <c r="K40" s="512"/>
      <c r="L40" s="512"/>
      <c r="M40" s="512"/>
      <c r="N40" s="512"/>
      <c r="O40" s="512"/>
      <c r="P40" s="512"/>
      <c r="Q40" s="512"/>
      <c r="R40" s="512"/>
      <c r="S40" s="512"/>
      <c r="T40" s="512"/>
      <c r="U40" s="512"/>
    </row>
    <row r="41" spans="1:22">
      <c r="B41" s="512"/>
      <c r="C41" s="512"/>
      <c r="D41" s="512"/>
      <c r="E41" s="512"/>
      <c r="F41" s="512"/>
      <c r="G41" s="512"/>
      <c r="H41" s="512"/>
      <c r="I41" s="512"/>
      <c r="J41" s="512"/>
      <c r="K41" s="512"/>
      <c r="L41" s="512"/>
      <c r="M41" s="512"/>
      <c r="N41" s="512"/>
      <c r="O41" s="512"/>
      <c r="P41" s="512"/>
      <c r="Q41" s="512"/>
      <c r="R41" s="512"/>
      <c r="S41" s="512"/>
      <c r="T41" s="512"/>
      <c r="U41" s="512"/>
    </row>
    <row r="42" spans="1:22">
      <c r="B42" s="512"/>
      <c r="C42" s="512"/>
      <c r="D42" s="512"/>
      <c r="E42" s="512"/>
      <c r="F42" s="512"/>
      <c r="G42" s="512"/>
      <c r="H42" s="512"/>
      <c r="I42" s="512"/>
      <c r="J42" s="512"/>
      <c r="K42" s="512"/>
      <c r="L42" s="512"/>
      <c r="M42" s="512"/>
      <c r="N42" s="512"/>
      <c r="O42" s="512"/>
      <c r="P42" s="512"/>
      <c r="Q42" s="512"/>
      <c r="R42" s="512"/>
      <c r="S42" s="512"/>
      <c r="T42" s="512"/>
      <c r="U42" s="512"/>
    </row>
    <row r="43" spans="1:22">
      <c r="B43" s="512"/>
      <c r="C43" s="512"/>
      <c r="D43" s="512"/>
      <c r="E43" s="512"/>
      <c r="F43" s="512"/>
      <c r="G43" s="512"/>
      <c r="H43" s="512"/>
      <c r="I43" s="512"/>
      <c r="J43" s="512"/>
      <c r="K43" s="512"/>
      <c r="L43" s="512"/>
      <c r="M43" s="512"/>
      <c r="N43" s="512"/>
      <c r="O43" s="512"/>
      <c r="P43" s="512"/>
      <c r="Q43" s="512"/>
      <c r="R43" s="512"/>
      <c r="S43" s="512"/>
      <c r="T43" s="512"/>
      <c r="U43" s="512"/>
    </row>
    <row r="44" spans="1:22">
      <c r="B44" s="512"/>
      <c r="C44" s="512"/>
      <c r="D44" s="512"/>
      <c r="E44" s="512"/>
      <c r="F44" s="512"/>
      <c r="G44" s="512"/>
      <c r="H44" s="512"/>
      <c r="I44" s="512"/>
      <c r="J44" s="512"/>
      <c r="K44" s="512"/>
      <c r="L44" s="512"/>
      <c r="M44" s="512"/>
      <c r="N44" s="512"/>
      <c r="O44" s="512"/>
      <c r="P44" s="512"/>
      <c r="Q44" s="512"/>
      <c r="R44" s="512"/>
      <c r="S44" s="512"/>
      <c r="T44" s="512"/>
      <c r="U44" s="512"/>
    </row>
    <row r="45" spans="1:22">
      <c r="B45" s="512"/>
      <c r="C45" s="512"/>
      <c r="D45" s="512"/>
      <c r="E45" s="512"/>
      <c r="F45" s="512"/>
      <c r="G45" s="512"/>
      <c r="H45" s="512"/>
      <c r="I45" s="512"/>
      <c r="J45" s="512"/>
      <c r="K45" s="512"/>
      <c r="L45" s="512"/>
      <c r="M45" s="512"/>
      <c r="N45" s="512"/>
      <c r="O45" s="512"/>
      <c r="P45" s="512"/>
      <c r="Q45" s="512"/>
      <c r="R45" s="512"/>
      <c r="S45" s="512"/>
      <c r="T45" s="512"/>
      <c r="U45" s="512"/>
    </row>
    <row r="46" spans="1:22">
      <c r="B46" s="512"/>
      <c r="C46" s="512"/>
      <c r="D46" s="512"/>
      <c r="E46" s="512"/>
      <c r="F46" s="512"/>
      <c r="G46" s="512"/>
      <c r="H46" s="512"/>
      <c r="I46" s="512"/>
      <c r="J46" s="512"/>
      <c r="K46" s="512"/>
      <c r="L46" s="512"/>
      <c r="M46" s="512"/>
      <c r="N46" s="512"/>
      <c r="O46" s="512"/>
      <c r="P46" s="512"/>
      <c r="Q46" s="512"/>
      <c r="R46" s="512"/>
      <c r="S46" s="512"/>
      <c r="T46" s="512"/>
      <c r="U46" s="512"/>
    </row>
    <row r="48" spans="1:22" ht="15" customHeight="1">
      <c r="A48" s="396"/>
      <c r="B48" s="396"/>
      <c r="C48" s="396"/>
      <c r="D48" s="396"/>
      <c r="E48" s="396"/>
      <c r="F48" s="394" t="s">
        <v>0</v>
      </c>
      <c r="G48" s="394"/>
      <c r="H48" s="394"/>
      <c r="I48" s="394"/>
      <c r="J48" s="394"/>
      <c r="K48" s="394"/>
      <c r="L48" s="394"/>
      <c r="M48" s="394"/>
      <c r="N48" s="394"/>
      <c r="O48" s="394"/>
      <c r="P48" s="394"/>
      <c r="Q48" s="394"/>
      <c r="R48" s="396"/>
      <c r="S48" s="396"/>
      <c r="T48" s="396"/>
      <c r="U48" s="396"/>
      <c r="V48" s="396"/>
    </row>
    <row r="49" spans="1:22" ht="15" customHeight="1">
      <c r="A49" s="396"/>
      <c r="B49" s="396"/>
      <c r="C49" s="396"/>
      <c r="D49" s="396"/>
      <c r="E49" s="396"/>
      <c r="F49" s="394"/>
      <c r="G49" s="394"/>
      <c r="H49" s="394"/>
      <c r="I49" s="394"/>
      <c r="J49" s="394"/>
      <c r="K49" s="394"/>
      <c r="L49" s="394"/>
      <c r="M49" s="394"/>
      <c r="N49" s="394"/>
      <c r="O49" s="394"/>
      <c r="P49" s="394"/>
      <c r="Q49" s="394"/>
      <c r="R49" s="396"/>
      <c r="S49" s="396"/>
      <c r="T49" s="396"/>
      <c r="U49" s="396"/>
      <c r="V49" s="396"/>
    </row>
    <row r="50" spans="1:22" ht="15" customHeight="1">
      <c r="A50" s="396"/>
      <c r="B50" s="396"/>
      <c r="C50" s="396"/>
      <c r="D50" s="396"/>
      <c r="E50" s="396"/>
      <c r="F50" s="394"/>
      <c r="G50" s="394"/>
      <c r="H50" s="394"/>
      <c r="I50" s="394"/>
      <c r="J50" s="394"/>
      <c r="K50" s="394"/>
      <c r="L50" s="394"/>
      <c r="M50" s="394"/>
      <c r="N50" s="394"/>
      <c r="O50" s="394"/>
      <c r="P50" s="394"/>
      <c r="Q50" s="394"/>
      <c r="R50" s="396"/>
      <c r="S50" s="396"/>
      <c r="T50" s="396"/>
      <c r="U50" s="396"/>
      <c r="V50" s="396"/>
    </row>
    <row r="51" spans="1:22" ht="15" customHeight="1">
      <c r="A51" s="396"/>
      <c r="B51" s="396"/>
      <c r="C51" s="396"/>
      <c r="D51" s="396"/>
      <c r="E51" s="396"/>
      <c r="F51" s="394"/>
      <c r="G51" s="394"/>
      <c r="H51" s="394"/>
      <c r="I51" s="394"/>
      <c r="J51" s="394"/>
      <c r="K51" s="394"/>
      <c r="L51" s="394"/>
      <c r="M51" s="394"/>
      <c r="N51" s="394"/>
      <c r="O51" s="394"/>
      <c r="P51" s="394"/>
      <c r="Q51" s="394"/>
      <c r="R51" s="396"/>
      <c r="S51" s="396"/>
      <c r="T51" s="396"/>
      <c r="U51" s="396"/>
      <c r="V51" s="396"/>
    </row>
    <row r="52" spans="1:22" ht="15" customHeight="1">
      <c r="A52" s="396"/>
      <c r="B52" s="396"/>
      <c r="C52" s="396"/>
      <c r="D52" s="396"/>
      <c r="E52" s="396"/>
      <c r="F52" s="402" t="s">
        <v>210</v>
      </c>
      <c r="G52" s="402"/>
      <c r="H52" s="402"/>
      <c r="I52" s="402"/>
      <c r="J52" s="402"/>
      <c r="K52" s="402"/>
      <c r="L52" s="402"/>
      <c r="M52" s="402"/>
      <c r="N52" s="402"/>
      <c r="O52" s="402"/>
      <c r="P52" s="402"/>
      <c r="Q52" s="402"/>
      <c r="R52" s="396"/>
      <c r="S52" s="396"/>
      <c r="T52" s="396"/>
      <c r="U52" s="396"/>
      <c r="V52" s="396"/>
    </row>
    <row r="53" spans="1:22">
      <c r="A53" s="402" t="e">
        <f>A6</f>
        <v>#REF!</v>
      </c>
      <c r="B53" s="402"/>
      <c r="C53" s="402"/>
      <c r="D53" s="402"/>
      <c r="E53" s="402"/>
      <c r="F53" s="490" t="e">
        <f>F6</f>
        <v>#REF!</v>
      </c>
      <c r="G53" s="490"/>
      <c r="H53" s="490"/>
      <c r="I53" s="490"/>
      <c r="J53" s="490"/>
      <c r="K53" s="490"/>
      <c r="L53" s="490"/>
      <c r="M53" s="490"/>
      <c r="N53" s="490"/>
      <c r="O53" s="490"/>
      <c r="P53" s="490"/>
      <c r="Q53" s="490"/>
      <c r="R53" s="402" t="s">
        <v>206</v>
      </c>
      <c r="S53" s="402"/>
      <c r="T53" s="402"/>
      <c r="U53" s="402"/>
      <c r="V53" s="402"/>
    </row>
    <row r="54" spans="1:22">
      <c r="A54" s="402"/>
      <c r="B54" s="402"/>
      <c r="C54" s="402"/>
      <c r="D54" s="402"/>
      <c r="E54" s="402"/>
      <c r="F54" s="490"/>
      <c r="G54" s="490"/>
      <c r="H54" s="490"/>
      <c r="I54" s="490"/>
      <c r="J54" s="490"/>
      <c r="K54" s="490"/>
      <c r="L54" s="490"/>
      <c r="M54" s="490"/>
      <c r="N54" s="490"/>
      <c r="O54" s="490"/>
      <c r="P54" s="490"/>
      <c r="Q54" s="490"/>
      <c r="R54" s="402"/>
      <c r="S54" s="402"/>
      <c r="T54" s="402"/>
      <c r="U54" s="402"/>
      <c r="V54" s="402"/>
    </row>
    <row r="56" spans="1:22" ht="15" customHeight="1">
      <c r="B56" s="504"/>
      <c r="C56" s="505"/>
      <c r="D56" s="505"/>
      <c r="E56" s="263" t="e">
        <f>1.8*P56*(COVER!H153/1000)^0.5</f>
        <v>#REF!</v>
      </c>
      <c r="F56" s="263"/>
      <c r="G56" s="485"/>
      <c r="J56" s="504"/>
      <c r="K56" s="505"/>
      <c r="L56" s="505"/>
      <c r="M56" s="505"/>
      <c r="N56" s="505"/>
      <c r="O56" s="505"/>
      <c r="P56" s="506" t="e">
        <f>(0.578)/((Q60)^0.5)</f>
        <v>#REF!</v>
      </c>
      <c r="Q56" s="506"/>
      <c r="R56" s="506"/>
      <c r="S56" s="506"/>
      <c r="T56" s="506"/>
      <c r="U56" s="506"/>
      <c r="V56" s="507"/>
    </row>
    <row r="57" spans="1:22">
      <c r="B57" s="496"/>
      <c r="C57" s="353"/>
      <c r="D57" s="353"/>
      <c r="E57" s="274"/>
      <c r="F57" s="274"/>
      <c r="G57" s="513"/>
      <c r="H57" s="502" t="s">
        <v>93</v>
      </c>
      <c r="I57" s="503"/>
      <c r="J57" s="496"/>
      <c r="K57" s="353"/>
      <c r="L57" s="353"/>
      <c r="M57" s="353"/>
      <c r="N57" s="353"/>
      <c r="O57" s="353"/>
      <c r="P57" s="385"/>
      <c r="Q57" s="385"/>
      <c r="R57" s="385"/>
      <c r="S57" s="385"/>
      <c r="T57" s="385"/>
      <c r="U57" s="385"/>
      <c r="V57" s="508"/>
    </row>
    <row r="58" spans="1:22">
      <c r="B58" s="496"/>
      <c r="C58" s="353"/>
      <c r="D58" s="353"/>
      <c r="E58" s="274"/>
      <c r="F58" s="274"/>
      <c r="G58" s="513"/>
      <c r="H58" s="503"/>
      <c r="I58" s="503"/>
      <c r="J58" s="496"/>
      <c r="K58" s="353"/>
      <c r="L58" s="353"/>
      <c r="M58" s="353"/>
      <c r="N58" s="353"/>
      <c r="O58" s="353"/>
      <c r="P58" s="385"/>
      <c r="Q58" s="385"/>
      <c r="R58" s="385"/>
      <c r="S58" s="385"/>
      <c r="T58" s="385"/>
      <c r="U58" s="385"/>
      <c r="V58" s="508"/>
    </row>
    <row r="59" spans="1:22">
      <c r="B59" s="498"/>
      <c r="C59" s="499"/>
      <c r="D59" s="499"/>
      <c r="E59" s="487"/>
      <c r="F59" s="487"/>
      <c r="G59" s="488"/>
      <c r="J59" s="498"/>
      <c r="K59" s="499"/>
      <c r="L59" s="499"/>
      <c r="M59" s="499"/>
      <c r="N59" s="499"/>
      <c r="O59" s="499"/>
      <c r="P59" s="509"/>
      <c r="Q59" s="509"/>
      <c r="R59" s="509"/>
      <c r="S59" s="509"/>
      <c r="T59" s="509"/>
      <c r="U59" s="509"/>
      <c r="V59" s="510"/>
    </row>
    <row r="60" spans="1:22">
      <c r="B60" s="353"/>
      <c r="C60" s="353"/>
      <c r="D60" s="353"/>
      <c r="E60" s="353"/>
      <c r="F60" s="353"/>
      <c r="G60" s="353"/>
      <c r="H60" s="353"/>
      <c r="I60" s="353"/>
      <c r="J60" s="353"/>
      <c r="K60" s="353"/>
      <c r="L60" s="353"/>
      <c r="M60" s="353"/>
      <c r="N60" s="496"/>
      <c r="O60" s="353"/>
      <c r="P60" s="497"/>
      <c r="Q60" s="501" t="e">
        <f>TANH(3.68*(COVER!H154)/(COVER!#REF!))</f>
        <v>#REF!</v>
      </c>
    </row>
    <row r="61" spans="1:22">
      <c r="B61" s="353"/>
      <c r="C61" s="353"/>
      <c r="D61" s="353"/>
      <c r="E61" s="353"/>
      <c r="F61" s="353"/>
      <c r="G61" s="353"/>
      <c r="H61" s="353"/>
      <c r="I61" s="353"/>
      <c r="J61" s="353"/>
      <c r="K61" s="353"/>
      <c r="L61" s="353"/>
      <c r="M61" s="353"/>
      <c r="N61" s="498"/>
      <c r="O61" s="499"/>
      <c r="P61" s="500"/>
      <c r="Q61" s="483"/>
    </row>
    <row r="62" spans="1:22">
      <c r="B62" s="353"/>
      <c r="C62" s="353"/>
      <c r="D62" s="353"/>
      <c r="E62" s="353"/>
      <c r="F62" s="353"/>
      <c r="G62" s="353"/>
      <c r="H62" s="353"/>
      <c r="I62" s="353"/>
      <c r="J62" s="353"/>
      <c r="K62" s="353"/>
      <c r="L62" s="353"/>
      <c r="M62" s="353"/>
    </row>
    <row r="63" spans="1:22">
      <c r="B63" s="353"/>
      <c r="C63" s="353"/>
      <c r="D63" s="353"/>
      <c r="E63" s="353"/>
      <c r="F63" s="353"/>
      <c r="G63" s="353"/>
      <c r="H63" s="353"/>
      <c r="I63" s="353"/>
      <c r="J63" s="353"/>
      <c r="K63" s="353"/>
      <c r="L63" s="353"/>
      <c r="M63" s="353"/>
    </row>
    <row r="64" spans="1:22">
      <c r="B64" s="353"/>
      <c r="C64" s="353"/>
      <c r="D64" s="353"/>
      <c r="E64" s="353"/>
      <c r="F64" s="353"/>
      <c r="G64" s="353"/>
      <c r="H64" s="353"/>
      <c r="I64" s="353"/>
      <c r="J64" s="353"/>
      <c r="K64" s="353"/>
      <c r="L64" s="353"/>
      <c r="M64" s="353"/>
    </row>
    <row r="65" spans="2:21">
      <c r="B65" s="353"/>
      <c r="C65" s="353"/>
      <c r="D65" s="353"/>
      <c r="E65" s="353"/>
      <c r="F65" s="353"/>
      <c r="G65" s="353"/>
      <c r="H65" s="353"/>
      <c r="I65" s="353"/>
      <c r="J65" s="353"/>
      <c r="K65" s="353"/>
      <c r="L65" s="353"/>
      <c r="M65" s="353"/>
    </row>
    <row r="66" spans="2:21">
      <c r="B66" s="386" t="s">
        <v>98</v>
      </c>
      <c r="C66" s="199"/>
      <c r="D66" s="199"/>
      <c r="E66" s="199"/>
      <c r="F66" s="199"/>
      <c r="G66" s="199"/>
      <c r="H66" s="199"/>
      <c r="I66" s="199"/>
      <c r="J66" s="199"/>
      <c r="K66" s="199"/>
      <c r="L66" s="199"/>
      <c r="M66" s="199"/>
      <c r="N66" s="199"/>
    </row>
    <row r="67" spans="2:21">
      <c r="B67" s="199"/>
      <c r="C67" s="199"/>
      <c r="D67" s="199"/>
      <c r="E67" s="199"/>
      <c r="F67" s="199"/>
      <c r="G67" s="199"/>
      <c r="H67" s="199"/>
      <c r="I67" s="199"/>
      <c r="J67" s="199"/>
      <c r="K67" s="199"/>
      <c r="L67" s="199"/>
      <c r="M67" s="199"/>
      <c r="N67" s="199"/>
    </row>
    <row r="68" spans="2:21">
      <c r="B68" s="353"/>
      <c r="C68" s="353"/>
      <c r="D68" s="353"/>
      <c r="E68" s="353"/>
      <c r="F68" s="353"/>
      <c r="G68" s="353"/>
      <c r="H68" s="353"/>
      <c r="I68" s="353"/>
      <c r="J68" s="353"/>
      <c r="K68" s="353"/>
      <c r="L68" s="353"/>
      <c r="M68" s="353"/>
      <c r="N68" s="353"/>
      <c r="O68" s="353"/>
      <c r="P68" s="353"/>
      <c r="Q68" s="353"/>
      <c r="R68" s="353"/>
      <c r="S68" s="353"/>
      <c r="T68" s="353"/>
      <c r="U68" s="353"/>
    </row>
    <row r="69" spans="2:21">
      <c r="B69" s="353"/>
      <c r="C69" s="353"/>
      <c r="D69" s="353"/>
      <c r="E69" s="353"/>
      <c r="F69" s="353"/>
      <c r="G69" s="353"/>
      <c r="H69" s="353"/>
      <c r="I69" s="353"/>
      <c r="J69" s="353"/>
      <c r="K69" s="353"/>
      <c r="L69" s="353"/>
      <c r="M69" s="353"/>
      <c r="N69" s="353"/>
      <c r="O69" s="353"/>
      <c r="P69" s="353"/>
      <c r="Q69" s="353"/>
      <c r="R69" s="353"/>
      <c r="S69" s="353"/>
      <c r="T69" s="353"/>
      <c r="U69" s="353"/>
    </row>
    <row r="70" spans="2:21">
      <c r="B70" s="353"/>
      <c r="C70" s="353"/>
      <c r="D70" s="353"/>
      <c r="E70" s="353"/>
      <c r="F70" s="353"/>
      <c r="G70" s="353"/>
      <c r="H70" s="353"/>
      <c r="I70" s="353"/>
      <c r="J70" s="353"/>
      <c r="K70" s="353"/>
      <c r="L70" s="353"/>
      <c r="M70" s="353"/>
      <c r="N70" s="353"/>
      <c r="O70" s="353"/>
      <c r="P70" s="353"/>
      <c r="Q70" s="353"/>
      <c r="R70" s="353"/>
      <c r="S70" s="353"/>
      <c r="T70" s="353"/>
      <c r="U70" s="353"/>
    </row>
    <row r="71" spans="2:21">
      <c r="B71" s="353"/>
      <c r="C71" s="353"/>
      <c r="D71" s="353"/>
      <c r="E71" s="353"/>
      <c r="F71" s="353"/>
      <c r="G71" s="353"/>
      <c r="H71" s="353"/>
      <c r="I71" s="353"/>
      <c r="J71" s="353"/>
      <c r="K71" s="353"/>
      <c r="L71" s="353"/>
      <c r="M71" s="353"/>
      <c r="N71" s="353"/>
      <c r="O71" s="353"/>
      <c r="P71" s="353"/>
      <c r="Q71" s="353"/>
      <c r="R71" s="353"/>
      <c r="S71" s="353"/>
      <c r="T71" s="353"/>
      <c r="U71" s="353"/>
    </row>
    <row r="74" spans="2:21">
      <c r="B74" s="400" t="s">
        <v>99</v>
      </c>
      <c r="C74" s="400"/>
      <c r="D74" s="400"/>
      <c r="E74" s="400"/>
      <c r="F74" s="400"/>
      <c r="G74" s="400"/>
      <c r="H74" s="400"/>
      <c r="I74" s="400"/>
      <c r="J74" s="400"/>
    </row>
    <row r="75" spans="2:21">
      <c r="B75" s="400"/>
      <c r="C75" s="400"/>
      <c r="D75" s="400"/>
      <c r="E75" s="400"/>
      <c r="F75" s="400"/>
      <c r="G75" s="400"/>
      <c r="H75" s="400"/>
      <c r="I75" s="400"/>
      <c r="J75" s="400"/>
    </row>
    <row r="76" spans="2:21">
      <c r="B76" s="353"/>
      <c r="C76" s="353"/>
      <c r="D76" s="353"/>
      <c r="E76" s="353"/>
      <c r="F76" s="353"/>
      <c r="G76" s="353"/>
      <c r="H76" s="353"/>
      <c r="I76" s="353"/>
      <c r="J76" s="353"/>
      <c r="K76" s="353"/>
      <c r="L76" s="353"/>
      <c r="M76" s="353"/>
      <c r="N76" s="353"/>
      <c r="O76" s="353"/>
      <c r="P76" s="353"/>
      <c r="Q76" s="353"/>
    </row>
    <row r="77" spans="2:21">
      <c r="B77" s="353"/>
      <c r="C77" s="353"/>
      <c r="D77" s="353"/>
      <c r="E77" s="353"/>
      <c r="F77" s="353"/>
      <c r="G77" s="353"/>
      <c r="H77" s="353"/>
      <c r="I77" s="353"/>
      <c r="J77" s="353"/>
      <c r="K77" s="353"/>
      <c r="L77" s="353"/>
      <c r="M77" s="353"/>
      <c r="N77" s="353"/>
      <c r="O77" s="353"/>
      <c r="P77" s="353"/>
      <c r="Q77" s="353"/>
    </row>
    <row r="78" spans="2:21">
      <c r="B78" s="353"/>
      <c r="C78" s="353"/>
      <c r="D78" s="353"/>
      <c r="E78" s="353"/>
      <c r="F78" s="353"/>
      <c r="G78" s="353"/>
      <c r="H78" s="353"/>
      <c r="I78" s="353"/>
      <c r="J78" s="353"/>
      <c r="K78" s="353"/>
      <c r="L78" s="353"/>
      <c r="M78" s="353"/>
      <c r="N78" s="353"/>
      <c r="O78" s="353"/>
      <c r="P78" s="353"/>
      <c r="Q78" s="353"/>
    </row>
    <row r="79" spans="2:21">
      <c r="B79" s="353"/>
      <c r="C79" s="353"/>
      <c r="D79" s="353"/>
      <c r="E79" s="353"/>
      <c r="F79" s="353"/>
      <c r="G79" s="353"/>
      <c r="H79" s="353"/>
      <c r="I79" s="353"/>
      <c r="J79" s="353"/>
      <c r="K79" s="353"/>
      <c r="L79" s="353"/>
      <c r="M79" s="353"/>
      <c r="N79" s="353"/>
      <c r="O79" s="353"/>
      <c r="P79" s="353"/>
      <c r="Q79" s="353"/>
    </row>
    <row r="80" spans="2:21">
      <c r="B80" s="353"/>
      <c r="C80" s="353"/>
      <c r="D80" s="353"/>
      <c r="E80" s="353"/>
      <c r="F80" s="353"/>
      <c r="G80" s="353"/>
      <c r="H80" s="353"/>
      <c r="I80" s="353"/>
      <c r="J80" s="353"/>
      <c r="K80" s="353"/>
      <c r="L80" s="353"/>
      <c r="M80" s="353"/>
      <c r="N80" s="353"/>
      <c r="O80" s="353"/>
      <c r="P80" s="353"/>
      <c r="Q80" s="353"/>
    </row>
    <row r="81" spans="1:22">
      <c r="B81" s="353"/>
      <c r="C81" s="353"/>
      <c r="D81" s="353"/>
      <c r="E81" s="353"/>
      <c r="F81" s="353"/>
      <c r="G81" s="353"/>
      <c r="H81" s="353"/>
      <c r="I81" s="353"/>
      <c r="J81" s="353"/>
      <c r="K81" s="353"/>
      <c r="L81" s="353"/>
      <c r="M81" s="353"/>
      <c r="N81" s="353"/>
      <c r="O81" s="353"/>
      <c r="P81" s="353"/>
      <c r="Q81" s="353"/>
    </row>
    <row r="82" spans="1:22">
      <c r="B82" s="353"/>
      <c r="C82" s="353"/>
      <c r="D82" s="353"/>
      <c r="E82" s="353"/>
      <c r="F82" s="353"/>
      <c r="G82" s="353"/>
      <c r="H82" s="353"/>
      <c r="I82" s="353"/>
      <c r="J82" s="353"/>
      <c r="K82" s="353"/>
      <c r="L82" s="353"/>
      <c r="M82" s="353"/>
      <c r="N82" s="353"/>
      <c r="O82" s="353"/>
      <c r="P82" s="353"/>
      <c r="Q82" s="353"/>
    </row>
    <row r="83" spans="1:22">
      <c r="B83" s="353"/>
      <c r="C83" s="353"/>
      <c r="D83" s="353"/>
      <c r="E83" s="353"/>
      <c r="F83" s="353"/>
      <c r="G83" s="353"/>
      <c r="H83" s="353"/>
      <c r="I83" s="353"/>
      <c r="J83" s="353"/>
      <c r="K83" s="353"/>
      <c r="L83" s="353"/>
      <c r="M83" s="353"/>
      <c r="N83" s="353"/>
      <c r="O83" s="353"/>
      <c r="P83" s="353"/>
      <c r="Q83" s="353"/>
    </row>
    <row r="84" spans="1:22">
      <c r="B84" s="400" t="s">
        <v>100</v>
      </c>
      <c r="C84" s="400"/>
      <c r="D84" s="400"/>
      <c r="E84" s="400"/>
      <c r="F84" s="400"/>
      <c r="G84" s="400"/>
      <c r="H84" s="400"/>
      <c r="I84" s="400"/>
      <c r="J84" s="400"/>
      <c r="K84" s="400"/>
      <c r="L84" s="400"/>
      <c r="M84" s="400"/>
      <c r="N84" s="400"/>
      <c r="O84" s="400"/>
    </row>
    <row r="85" spans="1:22">
      <c r="B85" s="400"/>
      <c r="C85" s="400"/>
      <c r="D85" s="400"/>
      <c r="E85" s="400"/>
      <c r="F85" s="400"/>
      <c r="G85" s="400"/>
      <c r="H85" s="400"/>
      <c r="I85" s="400"/>
      <c r="J85" s="400"/>
      <c r="K85" s="400"/>
      <c r="L85" s="400"/>
      <c r="M85" s="400"/>
      <c r="N85" s="400"/>
      <c r="O85" s="400"/>
    </row>
    <row r="86" spans="1:22">
      <c r="B86" s="353"/>
      <c r="C86" s="353"/>
      <c r="D86" s="353"/>
      <c r="E86" s="353"/>
      <c r="F86" s="353"/>
      <c r="G86" s="353"/>
      <c r="H86" s="353"/>
      <c r="I86" s="353"/>
      <c r="J86" s="399" t="s">
        <v>102</v>
      </c>
      <c r="K86" s="400"/>
      <c r="L86" s="400"/>
      <c r="M86" s="400"/>
      <c r="N86" s="400"/>
      <c r="O86" s="400"/>
      <c r="P86" s="400"/>
      <c r="Q86" s="400"/>
      <c r="R86" s="400"/>
      <c r="S86" s="400"/>
      <c r="T86" s="400"/>
      <c r="U86" s="400"/>
    </row>
    <row r="87" spans="1:22">
      <c r="B87" s="353"/>
      <c r="C87" s="353"/>
      <c r="D87" s="353"/>
      <c r="E87" s="353"/>
      <c r="F87" s="353"/>
      <c r="G87" s="353"/>
      <c r="H87" s="353"/>
      <c r="I87" s="353"/>
      <c r="J87" s="400"/>
      <c r="K87" s="400"/>
      <c r="L87" s="400"/>
      <c r="M87" s="400"/>
      <c r="N87" s="400"/>
      <c r="O87" s="400"/>
      <c r="P87" s="400"/>
      <c r="Q87" s="400"/>
      <c r="R87" s="400"/>
      <c r="S87" s="400"/>
      <c r="T87" s="400"/>
      <c r="U87" s="400"/>
    </row>
    <row r="88" spans="1:22">
      <c r="B88" s="353"/>
      <c r="C88" s="353"/>
      <c r="D88" s="353"/>
      <c r="E88" s="353"/>
      <c r="F88" s="353"/>
      <c r="G88" s="353"/>
      <c r="H88" s="353"/>
      <c r="I88" s="353"/>
      <c r="J88" s="400"/>
      <c r="K88" s="400"/>
      <c r="L88" s="400"/>
      <c r="M88" s="400"/>
      <c r="N88" s="400"/>
      <c r="O88" s="400"/>
      <c r="P88" s="400"/>
      <c r="Q88" s="400"/>
      <c r="R88" s="400"/>
      <c r="S88" s="400"/>
      <c r="T88" s="400"/>
      <c r="U88" s="400"/>
    </row>
    <row r="89" spans="1:22">
      <c r="B89" s="353"/>
      <c r="C89" s="353"/>
      <c r="D89" s="353"/>
      <c r="E89" s="353"/>
      <c r="F89" s="353"/>
      <c r="G89" s="353"/>
      <c r="H89" s="353"/>
      <c r="I89" s="353"/>
      <c r="J89" s="400"/>
      <c r="K89" s="400"/>
      <c r="L89" s="400"/>
      <c r="M89" s="400"/>
      <c r="N89" s="400"/>
      <c r="O89" s="400"/>
      <c r="P89" s="400"/>
      <c r="Q89" s="400"/>
      <c r="R89" s="400"/>
      <c r="S89" s="400"/>
      <c r="T89" s="400"/>
      <c r="U89" s="400"/>
    </row>
    <row r="90" spans="1:22">
      <c r="B90" s="353"/>
      <c r="C90" s="353"/>
      <c r="D90" s="353"/>
      <c r="E90" s="353"/>
      <c r="F90" s="353"/>
      <c r="G90" s="353"/>
      <c r="H90" s="353"/>
      <c r="I90" s="353"/>
      <c r="J90" s="400"/>
      <c r="K90" s="400"/>
      <c r="L90" s="400"/>
      <c r="M90" s="400"/>
      <c r="N90" s="400"/>
      <c r="O90" s="400"/>
      <c r="P90" s="400"/>
      <c r="Q90" s="400"/>
      <c r="R90" s="400"/>
      <c r="S90" s="400"/>
      <c r="T90" s="400"/>
      <c r="U90" s="400"/>
    </row>
    <row r="91" spans="1:22">
      <c r="B91" s="353"/>
      <c r="C91" s="353"/>
      <c r="D91" s="353"/>
      <c r="E91" s="353"/>
      <c r="F91" s="353"/>
      <c r="G91" s="353"/>
      <c r="H91" s="353"/>
      <c r="I91" s="353"/>
      <c r="J91" s="353"/>
      <c r="K91" s="353"/>
      <c r="L91" s="353"/>
      <c r="M91" s="353"/>
      <c r="N91" s="353"/>
      <c r="O91" s="353"/>
      <c r="P91" s="353"/>
      <c r="Q91" s="353"/>
      <c r="R91" s="353"/>
      <c r="S91" s="353"/>
      <c r="T91" s="353"/>
      <c r="U91" s="353"/>
    </row>
    <row r="92" spans="1:22">
      <c r="B92" s="353"/>
      <c r="C92" s="353"/>
      <c r="D92" s="353"/>
      <c r="E92" s="353"/>
      <c r="F92" s="353"/>
      <c r="G92" s="353"/>
      <c r="H92" s="353"/>
      <c r="I92" s="353"/>
      <c r="J92" s="353"/>
      <c r="K92" s="353"/>
      <c r="L92" s="353"/>
      <c r="M92" s="353"/>
      <c r="N92" s="353"/>
      <c r="O92" s="353"/>
      <c r="P92" s="353"/>
      <c r="Q92" s="353"/>
      <c r="R92" s="353"/>
      <c r="S92" s="353"/>
      <c r="T92" s="353"/>
      <c r="U92" s="353"/>
    </row>
    <row r="93" spans="1:22">
      <c r="B93" s="353"/>
      <c r="C93" s="353"/>
      <c r="D93" s="353"/>
      <c r="E93" s="353"/>
      <c r="F93" s="353"/>
      <c r="G93" s="353"/>
      <c r="H93" s="353"/>
      <c r="I93" s="353"/>
      <c r="J93" s="353"/>
      <c r="K93" s="353"/>
      <c r="L93" s="353"/>
      <c r="M93" s="353"/>
      <c r="N93" s="353"/>
      <c r="O93" s="353"/>
      <c r="P93" s="353"/>
      <c r="Q93" s="353"/>
      <c r="R93" s="353"/>
      <c r="S93" s="353"/>
      <c r="T93" s="353"/>
      <c r="U93" s="353"/>
    </row>
    <row r="94" spans="1:22">
      <c r="B94" s="353"/>
      <c r="C94" s="353"/>
      <c r="D94" s="353"/>
      <c r="E94" s="353"/>
      <c r="F94" s="353"/>
      <c r="G94" s="353"/>
      <c r="H94" s="353"/>
      <c r="I94" s="353"/>
      <c r="J94" s="353"/>
      <c r="K94" s="353"/>
      <c r="L94" s="353"/>
      <c r="M94" s="353"/>
      <c r="N94" s="353"/>
      <c r="O94" s="353"/>
      <c r="P94" s="353"/>
      <c r="Q94" s="353"/>
      <c r="R94" s="353"/>
      <c r="S94" s="353"/>
      <c r="T94" s="353"/>
      <c r="U94" s="353"/>
    </row>
    <row r="95" spans="1:22" ht="15" customHeight="1">
      <c r="A95" s="396"/>
      <c r="B95" s="396"/>
      <c r="C95" s="396"/>
      <c r="D95" s="396"/>
      <c r="E95" s="396"/>
      <c r="F95" s="394" t="s">
        <v>0</v>
      </c>
      <c r="G95" s="394"/>
      <c r="H95" s="394"/>
      <c r="I95" s="394"/>
      <c r="J95" s="394"/>
      <c r="K95" s="394"/>
      <c r="L95" s="394"/>
      <c r="M95" s="394"/>
      <c r="N95" s="394"/>
      <c r="O95" s="394"/>
      <c r="P95" s="394"/>
      <c r="Q95" s="394"/>
      <c r="R95" s="396"/>
      <c r="S95" s="396"/>
      <c r="T95" s="396"/>
      <c r="U95" s="396"/>
      <c r="V95" s="396"/>
    </row>
    <row r="96" spans="1:22" ht="15" customHeight="1">
      <c r="A96" s="396"/>
      <c r="B96" s="396"/>
      <c r="C96" s="396"/>
      <c r="D96" s="396"/>
      <c r="E96" s="396"/>
      <c r="F96" s="394"/>
      <c r="G96" s="394"/>
      <c r="H96" s="394"/>
      <c r="I96" s="394"/>
      <c r="J96" s="394"/>
      <c r="K96" s="394"/>
      <c r="L96" s="394"/>
      <c r="M96" s="394"/>
      <c r="N96" s="394"/>
      <c r="O96" s="394"/>
      <c r="P96" s="394"/>
      <c r="Q96" s="394"/>
      <c r="R96" s="396"/>
      <c r="S96" s="396"/>
      <c r="T96" s="396"/>
      <c r="U96" s="396"/>
      <c r="V96" s="396"/>
    </row>
    <row r="97" spans="1:22" ht="15" customHeight="1">
      <c r="A97" s="396"/>
      <c r="B97" s="396"/>
      <c r="C97" s="396"/>
      <c r="D97" s="396"/>
      <c r="E97" s="396"/>
      <c r="F97" s="394"/>
      <c r="G97" s="394"/>
      <c r="H97" s="394"/>
      <c r="I97" s="394"/>
      <c r="J97" s="394"/>
      <c r="K97" s="394"/>
      <c r="L97" s="394"/>
      <c r="M97" s="394"/>
      <c r="N97" s="394"/>
      <c r="O97" s="394"/>
      <c r="P97" s="394"/>
      <c r="Q97" s="394"/>
      <c r="R97" s="396"/>
      <c r="S97" s="396"/>
      <c r="T97" s="396"/>
      <c r="U97" s="396"/>
      <c r="V97" s="396"/>
    </row>
    <row r="98" spans="1:22" ht="15" customHeight="1">
      <c r="A98" s="396"/>
      <c r="B98" s="396"/>
      <c r="C98" s="396"/>
      <c r="D98" s="396"/>
      <c r="E98" s="396"/>
      <c r="F98" s="394"/>
      <c r="G98" s="394"/>
      <c r="H98" s="394"/>
      <c r="I98" s="394"/>
      <c r="J98" s="394"/>
      <c r="K98" s="394"/>
      <c r="L98" s="394"/>
      <c r="M98" s="394"/>
      <c r="N98" s="394"/>
      <c r="O98" s="394"/>
      <c r="P98" s="394"/>
      <c r="Q98" s="394"/>
      <c r="R98" s="396"/>
      <c r="S98" s="396"/>
      <c r="T98" s="396"/>
      <c r="U98" s="396"/>
      <c r="V98" s="396"/>
    </row>
    <row r="99" spans="1:22" ht="15" customHeight="1">
      <c r="A99" s="396"/>
      <c r="B99" s="396"/>
      <c r="C99" s="396"/>
      <c r="D99" s="396"/>
      <c r="E99" s="396"/>
      <c r="F99" s="402" t="s">
        <v>210</v>
      </c>
      <c r="G99" s="402"/>
      <c r="H99" s="402"/>
      <c r="I99" s="402"/>
      <c r="J99" s="402"/>
      <c r="K99" s="402"/>
      <c r="L99" s="402"/>
      <c r="M99" s="402"/>
      <c r="N99" s="402"/>
      <c r="O99" s="402"/>
      <c r="P99" s="402"/>
      <c r="Q99" s="402"/>
      <c r="R99" s="396"/>
      <c r="S99" s="396"/>
      <c r="T99" s="396"/>
      <c r="U99" s="396"/>
      <c r="V99" s="396"/>
    </row>
    <row r="100" spans="1:22">
      <c r="A100" s="402" t="e">
        <f>A53</f>
        <v>#REF!</v>
      </c>
      <c r="B100" s="402"/>
      <c r="C100" s="402"/>
      <c r="D100" s="402"/>
      <c r="E100" s="402"/>
      <c r="F100" s="490" t="e">
        <f>F53</f>
        <v>#REF!</v>
      </c>
      <c r="G100" s="490"/>
      <c r="H100" s="490"/>
      <c r="I100" s="490"/>
      <c r="J100" s="490"/>
      <c r="K100" s="490"/>
      <c r="L100" s="490"/>
      <c r="M100" s="490"/>
      <c r="N100" s="490"/>
      <c r="O100" s="490"/>
      <c r="P100" s="490"/>
      <c r="Q100" s="490"/>
      <c r="R100" s="402" t="s">
        <v>205</v>
      </c>
      <c r="S100" s="402"/>
      <c r="T100" s="402"/>
      <c r="U100" s="402"/>
      <c r="V100" s="402"/>
    </row>
    <row r="101" spans="1:22">
      <c r="A101" s="402"/>
      <c r="B101" s="402"/>
      <c r="C101" s="402"/>
      <c r="D101" s="402"/>
      <c r="E101" s="402"/>
      <c r="F101" s="490"/>
      <c r="G101" s="490"/>
      <c r="H101" s="490"/>
      <c r="I101" s="490"/>
      <c r="J101" s="490"/>
      <c r="K101" s="490"/>
      <c r="L101" s="490"/>
      <c r="M101" s="490"/>
      <c r="N101" s="490"/>
      <c r="O101" s="490"/>
      <c r="P101" s="490"/>
      <c r="Q101" s="490"/>
      <c r="R101" s="402"/>
      <c r="S101" s="402"/>
      <c r="T101" s="402"/>
      <c r="U101" s="402"/>
      <c r="V101" s="402"/>
    </row>
    <row r="103" spans="1:22" ht="15" customHeight="1">
      <c r="B103" s="400" t="s">
        <v>251</v>
      </c>
      <c r="C103" s="400"/>
      <c r="D103" s="400"/>
      <c r="E103" s="400"/>
      <c r="F103" s="400"/>
      <c r="G103" s="400"/>
      <c r="H103" s="400"/>
      <c r="I103" s="400"/>
      <c r="J103" s="400"/>
      <c r="K103" s="400"/>
      <c r="L103" s="400"/>
      <c r="M103" s="400"/>
      <c r="N103" s="400"/>
      <c r="O103" s="400"/>
      <c r="P103" s="400"/>
    </row>
    <row r="104" spans="1:22">
      <c r="B104" s="400"/>
      <c r="C104" s="400"/>
      <c r="D104" s="400"/>
      <c r="E104" s="400"/>
      <c r="F104" s="400"/>
      <c r="G104" s="400"/>
      <c r="H104" s="400"/>
      <c r="I104" s="400"/>
      <c r="J104" s="400"/>
      <c r="K104" s="400"/>
      <c r="L104" s="400"/>
      <c r="M104" s="400"/>
      <c r="N104" s="400"/>
      <c r="O104" s="400"/>
      <c r="P104" s="400"/>
    </row>
    <row r="105" spans="1:22">
      <c r="B105" s="274" t="s">
        <v>252</v>
      </c>
      <c r="C105" s="274"/>
      <c r="D105" s="274">
        <f>(COVER!H153)/(COVER!H154)</f>
        <v>1.368421052631579</v>
      </c>
      <c r="E105" s="274"/>
      <c r="F105" s="274" t="str">
        <f>IF(D105&lt;G105,"&lt;","&gt; ")</f>
        <v xml:space="preserve">&gt; </v>
      </c>
      <c r="G105" s="274">
        <v>1.333</v>
      </c>
      <c r="H105" s="274"/>
      <c r="I105" s="274"/>
      <c r="J105" s="274"/>
      <c r="K105" s="274"/>
      <c r="L105" s="274"/>
      <c r="M105" s="274"/>
      <c r="N105" s="3"/>
      <c r="O105" s="3"/>
      <c r="P105" s="3"/>
      <c r="Q105" s="3"/>
    </row>
    <row r="106" spans="1:22">
      <c r="B106" s="274"/>
      <c r="C106" s="274"/>
      <c r="D106" s="274"/>
      <c r="E106" s="274"/>
      <c r="F106" s="274"/>
      <c r="G106" s="274"/>
      <c r="H106" s="274"/>
      <c r="I106" s="274"/>
      <c r="J106" s="274"/>
      <c r="K106" s="274"/>
      <c r="L106" s="274"/>
      <c r="M106" s="274"/>
      <c r="N106" s="3"/>
      <c r="O106" s="3"/>
      <c r="P106" s="3"/>
      <c r="Q106" s="3"/>
    </row>
    <row r="107" spans="1:22">
      <c r="B107" s="353"/>
      <c r="C107" s="353"/>
      <c r="D107" s="353"/>
      <c r="E107" s="353"/>
      <c r="F107" s="353"/>
      <c r="G107" s="353"/>
      <c r="H107" s="353"/>
      <c r="I107" s="353"/>
      <c r="J107" s="353"/>
      <c r="K107" s="353"/>
      <c r="L107" s="353"/>
      <c r="M107" s="353"/>
      <c r="N107" s="353"/>
      <c r="O107" s="353"/>
      <c r="P107" s="353"/>
      <c r="Q107" s="353"/>
      <c r="R107" s="353"/>
      <c r="S107" s="353"/>
      <c r="T107" s="353"/>
      <c r="U107" s="353"/>
    </row>
    <row r="108" spans="1:22">
      <c r="B108" s="353"/>
      <c r="C108" s="353"/>
      <c r="D108" s="353"/>
      <c r="E108" s="353"/>
      <c r="F108" s="353"/>
      <c r="G108" s="353"/>
      <c r="H108" s="353"/>
      <c r="I108" s="353"/>
      <c r="J108" s="353"/>
      <c r="K108" s="353"/>
      <c r="L108" s="353"/>
      <c r="M108" s="353"/>
      <c r="N108" s="353"/>
      <c r="O108" s="353"/>
      <c r="P108" s="353"/>
      <c r="Q108" s="353"/>
      <c r="R108" s="353"/>
      <c r="S108" s="353"/>
      <c r="T108" s="353"/>
      <c r="U108" s="353"/>
    </row>
    <row r="109" spans="1:22">
      <c r="B109" s="353"/>
      <c r="C109" s="353"/>
      <c r="D109" s="353"/>
      <c r="E109" s="353"/>
      <c r="F109" s="353"/>
      <c r="G109" s="353"/>
      <c r="H109" s="353"/>
      <c r="I109" s="353"/>
      <c r="J109" s="353"/>
      <c r="K109" s="353"/>
      <c r="L109" s="353"/>
      <c r="M109" s="353"/>
      <c r="N109" s="353"/>
      <c r="O109" s="353"/>
      <c r="P109" s="353"/>
      <c r="Q109" s="353"/>
      <c r="R109" s="353"/>
      <c r="S109" s="353"/>
      <c r="T109" s="353"/>
      <c r="U109" s="353"/>
    </row>
    <row r="110" spans="1:22">
      <c r="B110" s="353"/>
      <c r="C110" s="353"/>
      <c r="D110" s="353"/>
      <c r="E110" s="353"/>
      <c r="F110" s="353"/>
      <c r="G110" s="353"/>
      <c r="H110" s="353"/>
      <c r="I110" s="353"/>
      <c r="J110" s="353"/>
      <c r="K110" s="353"/>
      <c r="L110" s="353"/>
      <c r="M110" s="353"/>
      <c r="N110" s="353"/>
      <c r="O110" s="353"/>
      <c r="P110" s="353"/>
      <c r="Q110" s="353"/>
      <c r="R110" s="353"/>
      <c r="S110" s="353"/>
      <c r="T110" s="353"/>
      <c r="U110" s="353"/>
    </row>
    <row r="111" spans="1:22">
      <c r="B111" s="353"/>
      <c r="C111" s="353"/>
      <c r="D111" s="353"/>
      <c r="E111" s="353"/>
      <c r="F111" s="353"/>
      <c r="G111" s="353"/>
      <c r="H111" s="353"/>
      <c r="I111" s="353"/>
      <c r="J111" s="353"/>
      <c r="K111" s="353"/>
      <c r="L111" s="353"/>
      <c r="M111" s="353"/>
      <c r="N111" s="353"/>
      <c r="O111" s="353"/>
      <c r="P111" s="353"/>
      <c r="Q111" s="353"/>
      <c r="R111" s="353"/>
      <c r="S111" s="353"/>
      <c r="T111" s="353"/>
      <c r="U111" s="353"/>
    </row>
    <row r="112" spans="1:22">
      <c r="B112" s="353"/>
      <c r="C112" s="353"/>
      <c r="D112" s="353"/>
      <c r="E112" s="353"/>
      <c r="F112" s="353"/>
      <c r="G112" s="353"/>
      <c r="H112" s="353"/>
      <c r="I112" s="353"/>
      <c r="J112" s="353"/>
      <c r="K112" s="353"/>
      <c r="L112" s="353"/>
      <c r="M112" s="353"/>
      <c r="N112" s="353"/>
      <c r="O112" s="353"/>
      <c r="P112" s="353"/>
      <c r="Q112" s="353"/>
      <c r="R112" s="353"/>
      <c r="S112" s="353"/>
      <c r="T112" s="353"/>
      <c r="U112" s="353"/>
    </row>
    <row r="113" spans="2:22" ht="15" customHeight="1">
      <c r="B113" s="386" t="s">
        <v>253</v>
      </c>
      <c r="C113" s="386"/>
      <c r="D113" s="386"/>
      <c r="E113" s="386"/>
      <c r="F113" s="386"/>
      <c r="G113" s="386"/>
      <c r="H113" s="386"/>
      <c r="I113" s="386"/>
      <c r="J113" s="386"/>
      <c r="K113" s="386"/>
      <c r="L113" s="386"/>
      <c r="M113" s="386"/>
      <c r="N113" s="4"/>
      <c r="O113" s="4"/>
      <c r="P113" s="4"/>
      <c r="Q113" s="4"/>
      <c r="R113" s="4"/>
      <c r="S113" s="4"/>
      <c r="T113" s="4"/>
      <c r="U113" s="4"/>
    </row>
    <row r="114" spans="2:22">
      <c r="B114" s="386"/>
      <c r="C114" s="386"/>
      <c r="D114" s="386"/>
      <c r="E114" s="386"/>
      <c r="F114" s="386"/>
      <c r="G114" s="386"/>
      <c r="H114" s="386"/>
      <c r="I114" s="386"/>
      <c r="J114" s="386"/>
      <c r="K114" s="386"/>
      <c r="L114" s="386"/>
      <c r="M114" s="386"/>
      <c r="N114" s="4"/>
      <c r="O114" s="4"/>
      <c r="P114" s="4"/>
      <c r="Q114" s="4"/>
      <c r="R114" s="4"/>
      <c r="S114" s="4"/>
      <c r="T114" s="4"/>
      <c r="U114" s="4"/>
    </row>
    <row r="115" spans="2:22">
      <c r="B115" s="386"/>
      <c r="C115" s="386"/>
      <c r="D115" s="386"/>
      <c r="E115" s="386"/>
      <c r="F115" s="386"/>
      <c r="G115" s="386"/>
      <c r="H115" s="386"/>
      <c r="I115" s="386"/>
      <c r="J115" s="386"/>
      <c r="K115" s="386"/>
      <c r="L115" s="386"/>
      <c r="M115" s="386"/>
      <c r="N115" s="4"/>
      <c r="O115" s="4"/>
      <c r="P115" s="4"/>
      <c r="Q115" s="4"/>
      <c r="R115" s="4"/>
      <c r="S115" s="4"/>
      <c r="T115" s="4"/>
      <c r="U115" s="4"/>
    </row>
    <row r="116" spans="2:22">
      <c r="B116" s="492"/>
      <c r="C116" s="492"/>
      <c r="D116" s="492"/>
      <c r="E116" s="492"/>
      <c r="F116" s="492"/>
      <c r="G116" s="492"/>
      <c r="H116" s="492"/>
      <c r="I116" s="4"/>
      <c r="J116" s="209">
        <f>0.23*D105*(TANH(3.67*(1/D105)))*563205.2*9.84</f>
        <v>1727992.3949856297</v>
      </c>
      <c r="K116" s="209"/>
      <c r="L116" s="209"/>
      <c r="M116" s="209"/>
      <c r="N116" s="209"/>
      <c r="O116" s="209"/>
      <c r="P116" s="209"/>
      <c r="Q116" s="209"/>
      <c r="R116" s="209"/>
      <c r="S116" s="209"/>
      <c r="T116" s="209"/>
      <c r="U116" s="209"/>
      <c r="V116" s="209" t="s">
        <v>214</v>
      </c>
    </row>
    <row r="117" spans="2:22" ht="15">
      <c r="B117" s="492"/>
      <c r="C117" s="492"/>
      <c r="D117" s="492"/>
      <c r="E117" s="492"/>
      <c r="F117" s="492"/>
      <c r="G117" s="492"/>
      <c r="H117" s="492"/>
      <c r="I117" s="7" t="s">
        <v>93</v>
      </c>
      <c r="J117" s="209"/>
      <c r="K117" s="209"/>
      <c r="L117" s="209"/>
      <c r="M117" s="209"/>
      <c r="N117" s="209"/>
      <c r="O117" s="209"/>
      <c r="P117" s="209"/>
      <c r="Q117" s="209"/>
      <c r="R117" s="209"/>
      <c r="S117" s="209"/>
      <c r="T117" s="209"/>
      <c r="U117" s="209"/>
      <c r="V117" s="209"/>
    </row>
    <row r="118" spans="2:22">
      <c r="B118" s="492"/>
      <c r="C118" s="492"/>
      <c r="D118" s="492"/>
      <c r="E118" s="492"/>
      <c r="F118" s="492"/>
      <c r="G118" s="492"/>
      <c r="H118" s="492"/>
      <c r="I118" s="4"/>
      <c r="J118" s="209"/>
      <c r="K118" s="209"/>
      <c r="L118" s="209"/>
      <c r="M118" s="209"/>
      <c r="N118" s="209"/>
      <c r="O118" s="209"/>
      <c r="P118" s="209"/>
      <c r="Q118" s="209"/>
      <c r="R118" s="209"/>
      <c r="S118" s="209"/>
      <c r="T118" s="209"/>
      <c r="U118" s="209"/>
      <c r="V118" s="209"/>
    </row>
    <row r="119" spans="2:22">
      <c r="B119" s="493" t="s">
        <v>103</v>
      </c>
      <c r="C119" s="493"/>
      <c r="D119" s="493"/>
      <c r="E119" s="493"/>
      <c r="F119" s="493"/>
      <c r="G119" s="493"/>
      <c r="H119" s="493"/>
      <c r="I119" s="493"/>
      <c r="J119" s="493"/>
      <c r="K119" s="3"/>
      <c r="L119" s="3"/>
      <c r="M119" s="3"/>
      <c r="N119" s="3"/>
      <c r="O119" s="3"/>
      <c r="P119" s="4"/>
      <c r="Q119" s="4"/>
      <c r="R119" s="4"/>
      <c r="S119" s="4"/>
      <c r="T119" s="4"/>
      <c r="U119" s="4"/>
    </row>
    <row r="120" spans="2:22">
      <c r="B120" s="493"/>
      <c r="C120" s="493"/>
      <c r="D120" s="493"/>
      <c r="E120" s="493"/>
      <c r="F120" s="493"/>
      <c r="G120" s="493"/>
      <c r="H120" s="493"/>
      <c r="I120" s="493"/>
      <c r="J120" s="493"/>
      <c r="K120" s="3"/>
      <c r="L120" s="3"/>
      <c r="M120" s="3"/>
      <c r="N120" s="3"/>
      <c r="O120" s="3"/>
    </row>
    <row r="121" spans="2:22">
      <c r="B121" s="493"/>
      <c r="C121" s="493"/>
      <c r="D121" s="493"/>
      <c r="E121" s="493"/>
      <c r="F121" s="493"/>
      <c r="G121" s="493"/>
      <c r="H121" s="493"/>
      <c r="I121" s="493"/>
      <c r="J121" s="493"/>
      <c r="K121" s="3"/>
      <c r="L121" s="3"/>
      <c r="M121" s="3"/>
      <c r="N121" s="3"/>
      <c r="O121" s="3"/>
    </row>
    <row r="122" spans="2:22">
      <c r="B122" s="353"/>
      <c r="C122" s="353"/>
      <c r="D122" s="353"/>
      <c r="E122" s="353"/>
      <c r="F122" s="353"/>
      <c r="G122" s="353"/>
      <c r="H122" s="353"/>
      <c r="I122" s="353"/>
      <c r="J122" s="353"/>
      <c r="K122" s="353"/>
      <c r="L122" s="353"/>
      <c r="M122" s="353"/>
      <c r="O122" s="218"/>
      <c r="P122" s="218"/>
      <c r="Q122" s="209">
        <f>'Shell Plate Design '!S47*9.84</f>
        <v>205055.45957913704</v>
      </c>
      <c r="R122" s="209" t="s">
        <v>214</v>
      </c>
      <c r="S122" s="209"/>
    </row>
    <row r="123" spans="2:22">
      <c r="B123" s="353"/>
      <c r="C123" s="353"/>
      <c r="D123" s="353"/>
      <c r="E123" s="353"/>
      <c r="F123" s="353"/>
      <c r="G123" s="353"/>
      <c r="H123" s="353"/>
      <c r="I123" s="353"/>
      <c r="J123" s="353"/>
      <c r="K123" s="353"/>
      <c r="L123" s="353"/>
      <c r="M123" s="353"/>
      <c r="O123" s="218"/>
      <c r="P123" s="218"/>
      <c r="Q123" s="209"/>
      <c r="R123" s="209"/>
      <c r="S123" s="209"/>
    </row>
    <row r="124" spans="2:22">
      <c r="B124" s="353"/>
      <c r="C124" s="353"/>
      <c r="D124" s="353"/>
      <c r="E124" s="353"/>
      <c r="F124" s="353"/>
      <c r="G124" s="353"/>
      <c r="H124" s="353"/>
      <c r="I124" s="353"/>
      <c r="J124" s="353"/>
      <c r="K124" s="353"/>
      <c r="L124" s="353"/>
      <c r="M124" s="353"/>
      <c r="O124" s="218"/>
      <c r="P124" s="218"/>
      <c r="Q124" s="209">
        <f>('roof design(2)'!J42+'roof design(2)'!J44+'roof design(2)'!J46)*9.84</f>
        <v>161603.70249240001</v>
      </c>
      <c r="R124" s="209" t="s">
        <v>214</v>
      </c>
      <c r="S124" s="209"/>
    </row>
    <row r="125" spans="2:22">
      <c r="B125" s="353"/>
      <c r="C125" s="353"/>
      <c r="D125" s="353"/>
      <c r="E125" s="353"/>
      <c r="F125" s="353"/>
      <c r="G125" s="353"/>
      <c r="H125" s="353"/>
      <c r="I125" s="353"/>
      <c r="J125" s="353"/>
      <c r="K125" s="353"/>
      <c r="L125" s="353"/>
      <c r="M125" s="353"/>
      <c r="O125" s="218"/>
      <c r="P125" s="218"/>
      <c r="Q125" s="209"/>
      <c r="R125" s="209"/>
      <c r="S125" s="209"/>
    </row>
    <row r="126" spans="2:22">
      <c r="B126" s="353"/>
      <c r="C126" s="353"/>
      <c r="D126" s="353"/>
      <c r="E126" s="353"/>
      <c r="F126" s="353"/>
      <c r="G126" s="353"/>
      <c r="H126" s="353"/>
      <c r="I126" s="353"/>
      <c r="J126" s="353"/>
      <c r="K126" s="353"/>
      <c r="L126" s="353"/>
      <c r="M126" s="353"/>
      <c r="O126" s="218"/>
      <c r="P126" s="218"/>
      <c r="Q126" s="209">
        <f>'Bottom &amp; Annular plate design'!Q69*9.84</f>
        <v>89939.428405630752</v>
      </c>
      <c r="R126" s="209" t="s">
        <v>214</v>
      </c>
      <c r="S126" s="209"/>
    </row>
    <row r="127" spans="2:22">
      <c r="B127" s="353"/>
      <c r="C127" s="353"/>
      <c r="D127" s="353"/>
      <c r="E127" s="353"/>
      <c r="F127" s="353"/>
      <c r="G127" s="353"/>
      <c r="H127" s="353"/>
      <c r="I127" s="353"/>
      <c r="J127" s="353"/>
      <c r="K127" s="353"/>
      <c r="L127" s="353"/>
      <c r="M127" s="353"/>
      <c r="O127" s="218"/>
      <c r="P127" s="218"/>
      <c r="Q127" s="209"/>
      <c r="R127" s="209"/>
      <c r="S127" s="209"/>
    </row>
    <row r="128" spans="2:22">
      <c r="B128" s="353"/>
      <c r="C128" s="353"/>
      <c r="D128" s="353"/>
      <c r="E128" s="353"/>
      <c r="F128" s="353"/>
      <c r="G128" s="353"/>
      <c r="H128" s="353"/>
      <c r="I128" s="353"/>
      <c r="J128" s="353"/>
      <c r="K128" s="353"/>
      <c r="L128" s="353"/>
      <c r="M128" s="353"/>
      <c r="O128" s="218"/>
      <c r="P128" s="218"/>
      <c r="Q128" s="209">
        <f>462643.571*9.84</f>
        <v>4552412.7386400001</v>
      </c>
      <c r="R128" s="209" t="s">
        <v>214</v>
      </c>
      <c r="S128" s="209"/>
    </row>
    <row r="129" spans="1:29">
      <c r="B129" s="353"/>
      <c r="C129" s="353"/>
      <c r="D129" s="353"/>
      <c r="E129" s="353"/>
      <c r="F129" s="353"/>
      <c r="G129" s="353"/>
      <c r="H129" s="353"/>
      <c r="I129" s="353"/>
      <c r="J129" s="353"/>
      <c r="K129" s="353"/>
      <c r="L129" s="353"/>
      <c r="M129" s="353"/>
      <c r="O129" s="218"/>
      <c r="P129" s="218"/>
      <c r="Q129" s="209"/>
      <c r="R129" s="209"/>
      <c r="S129" s="209"/>
      <c r="W129" s="494"/>
      <c r="X129" s="494"/>
      <c r="Y129" s="494"/>
      <c r="Z129" s="494"/>
      <c r="AA129" s="494"/>
      <c r="AB129" s="494"/>
      <c r="AC129" s="494"/>
    </row>
    <row r="130" spans="1:29">
      <c r="B130" s="353"/>
      <c r="C130" s="353"/>
      <c r="D130" s="353"/>
      <c r="E130" s="353"/>
      <c r="F130" s="353"/>
      <c r="G130" s="353"/>
      <c r="H130" s="353"/>
      <c r="I130" s="353"/>
      <c r="J130" s="353"/>
      <c r="K130" s="353"/>
      <c r="L130" s="353"/>
      <c r="M130" s="353"/>
      <c r="O130" s="218"/>
      <c r="P130" s="218"/>
      <c r="Q130" s="209">
        <f>(PI()*((COVER!H154/1000)*(COVER!H153/2000)^2)*1.01*1000)*9.84</f>
        <v>12531892.577463822</v>
      </c>
      <c r="R130" s="209" t="s">
        <v>214</v>
      </c>
      <c r="S130" s="209"/>
      <c r="W130" s="400"/>
      <c r="X130" s="400"/>
      <c r="Y130" s="400"/>
      <c r="Z130" s="400"/>
      <c r="AA130" s="400"/>
      <c r="AB130" s="400"/>
      <c r="AC130" s="400"/>
    </row>
    <row r="131" spans="1:29">
      <c r="B131" s="353"/>
      <c r="C131" s="353"/>
      <c r="D131" s="353"/>
      <c r="E131" s="353"/>
      <c r="F131" s="353"/>
      <c r="G131" s="353"/>
      <c r="H131" s="353"/>
      <c r="I131" s="353"/>
      <c r="J131" s="353"/>
      <c r="K131" s="353"/>
      <c r="L131" s="353"/>
      <c r="M131" s="353"/>
      <c r="O131" s="218"/>
      <c r="P131" s="218"/>
      <c r="Q131" s="209"/>
      <c r="R131" s="209"/>
      <c r="S131" s="209"/>
    </row>
    <row r="132" spans="1:29">
      <c r="B132" s="218"/>
      <c r="C132" s="218"/>
      <c r="D132" s="209">
        <f>0.28*(Q122+Q124+Q126+Q128)</f>
        <v>1402523.172152807</v>
      </c>
      <c r="E132" s="209"/>
      <c r="F132" s="209"/>
      <c r="G132" s="209"/>
      <c r="H132" s="209"/>
      <c r="I132" s="209" t="s">
        <v>214</v>
      </c>
      <c r="J132" s="209"/>
      <c r="K132" s="209"/>
      <c r="L132" s="209"/>
      <c r="M132" s="209"/>
      <c r="N132" s="209"/>
      <c r="O132" s="489"/>
      <c r="P132" s="274"/>
      <c r="Q132" s="483" t="s">
        <v>257</v>
      </c>
      <c r="R132" s="483">
        <f>((D132^2)+(D134^2))^0.5</f>
        <v>3665777.7366535966</v>
      </c>
      <c r="S132" s="483"/>
      <c r="T132" s="209" t="s">
        <v>214</v>
      </c>
      <c r="U132" s="209"/>
    </row>
    <row r="133" spans="1:29">
      <c r="B133" s="218"/>
      <c r="C133" s="218"/>
      <c r="D133" s="209"/>
      <c r="E133" s="209"/>
      <c r="F133" s="209"/>
      <c r="G133" s="209"/>
      <c r="H133" s="209"/>
      <c r="I133" s="209"/>
      <c r="J133" s="209"/>
      <c r="K133" s="209"/>
      <c r="L133" s="209"/>
      <c r="M133" s="209"/>
      <c r="N133" s="209"/>
      <c r="O133" s="489"/>
      <c r="P133" s="274"/>
      <c r="Q133" s="209"/>
      <c r="R133" s="209"/>
      <c r="S133" s="209"/>
      <c r="T133" s="209"/>
      <c r="U133" s="209"/>
    </row>
    <row r="134" spans="1:29">
      <c r="B134" s="209"/>
      <c r="C134" s="209"/>
      <c r="D134" s="209">
        <f>J116*9.8*0.2</f>
        <v>3386865.0941718351</v>
      </c>
      <c r="E134" s="209"/>
      <c r="F134" s="209"/>
      <c r="G134" s="209"/>
      <c r="H134" s="209"/>
      <c r="I134" s="484" t="s">
        <v>214</v>
      </c>
      <c r="J134" s="263"/>
      <c r="K134" s="263"/>
      <c r="L134" s="263"/>
      <c r="M134" s="263"/>
      <c r="N134" s="485"/>
      <c r="O134" s="489"/>
      <c r="P134" s="274"/>
      <c r="Q134" s="209"/>
      <c r="R134" s="209"/>
      <c r="S134" s="209"/>
      <c r="T134" s="209"/>
      <c r="U134" s="209"/>
    </row>
    <row r="135" spans="1:29">
      <c r="B135" s="209"/>
      <c r="C135" s="209"/>
      <c r="D135" s="209"/>
      <c r="E135" s="209"/>
      <c r="F135" s="209"/>
      <c r="G135" s="209"/>
      <c r="H135" s="209"/>
      <c r="I135" s="486"/>
      <c r="J135" s="487"/>
      <c r="K135" s="487"/>
      <c r="L135" s="487"/>
      <c r="M135" s="487"/>
      <c r="N135" s="488"/>
      <c r="O135" s="489"/>
      <c r="P135" s="274"/>
      <c r="Q135" s="209"/>
      <c r="R135" s="209"/>
      <c r="S135" s="209"/>
      <c r="T135" s="209"/>
      <c r="U135" s="209"/>
    </row>
    <row r="136" spans="1:29">
      <c r="B136" s="274"/>
      <c r="C136" s="274"/>
      <c r="D136" s="274"/>
      <c r="E136" s="274"/>
      <c r="F136" s="274"/>
      <c r="G136" s="274"/>
      <c r="H136" s="274"/>
      <c r="I136" s="274"/>
      <c r="J136" s="274"/>
      <c r="K136" s="274"/>
      <c r="L136" s="274"/>
      <c r="M136" s="274"/>
      <c r="N136" s="274"/>
      <c r="O136" s="274"/>
      <c r="P136" s="274"/>
      <c r="Q136" s="274"/>
      <c r="R136" s="274"/>
      <c r="S136" s="3"/>
      <c r="T136" s="3"/>
      <c r="U136" s="3"/>
      <c r="V136" s="3"/>
    </row>
    <row r="137" spans="1:29">
      <c r="B137" s="274"/>
      <c r="C137" s="274"/>
      <c r="D137" s="274"/>
      <c r="E137" s="274"/>
      <c r="F137" s="274"/>
      <c r="G137" s="274"/>
      <c r="H137" s="274"/>
      <c r="I137" s="274"/>
      <c r="J137" s="274"/>
      <c r="K137" s="274"/>
      <c r="L137" s="274"/>
      <c r="M137" s="274"/>
      <c r="N137" s="274"/>
      <c r="O137" s="274"/>
      <c r="P137" s="274"/>
      <c r="Q137" s="274"/>
      <c r="R137" s="274"/>
      <c r="S137" s="209"/>
      <c r="T137" s="209">
        <f>(0.5-(0.0094*'Seismic design'!D105))*(COVER!H154/1000)</f>
        <v>4.6277999999999997</v>
      </c>
      <c r="U137" s="209"/>
      <c r="V137" s="274" t="s">
        <v>258</v>
      </c>
    </row>
    <row r="138" spans="1:29">
      <c r="B138" s="274"/>
      <c r="C138" s="274"/>
      <c r="D138" s="274"/>
      <c r="E138" s="274"/>
      <c r="F138" s="274"/>
      <c r="G138" s="274"/>
      <c r="H138" s="274"/>
      <c r="I138" s="274"/>
      <c r="J138" s="274"/>
      <c r="K138" s="274"/>
      <c r="L138" s="274"/>
      <c r="M138" s="274"/>
      <c r="N138" s="274"/>
      <c r="O138" s="274"/>
      <c r="P138" s="274"/>
      <c r="Q138" s="274"/>
      <c r="R138" s="274"/>
      <c r="S138" s="209"/>
      <c r="T138" s="209"/>
      <c r="U138" s="209"/>
      <c r="V138" s="274"/>
    </row>
    <row r="139" spans="1:29">
      <c r="B139" s="274"/>
      <c r="C139" s="274"/>
      <c r="D139" s="274"/>
      <c r="E139" s="274"/>
      <c r="F139" s="274"/>
      <c r="G139" s="274"/>
      <c r="H139" s="274"/>
      <c r="I139" s="274"/>
      <c r="J139" s="274"/>
      <c r="K139" s="274"/>
      <c r="L139" s="274"/>
      <c r="M139" s="274"/>
      <c r="N139" s="274"/>
      <c r="O139" s="274"/>
      <c r="P139" s="274"/>
      <c r="Q139" s="274"/>
      <c r="R139" s="274"/>
      <c r="S139" s="3"/>
      <c r="T139" s="3"/>
      <c r="U139" s="3"/>
      <c r="V139" s="3"/>
    </row>
    <row r="140" spans="1:29">
      <c r="B140" s="274"/>
      <c r="C140" s="274"/>
      <c r="D140" s="274"/>
      <c r="E140" s="274"/>
      <c r="F140" s="274"/>
      <c r="G140" s="274"/>
      <c r="H140" s="274"/>
      <c r="I140" s="274"/>
      <c r="J140" s="274"/>
      <c r="K140" s="274"/>
      <c r="L140" s="274"/>
      <c r="M140" s="274"/>
      <c r="N140" s="274"/>
      <c r="O140" s="274"/>
      <c r="P140" s="274"/>
      <c r="Q140" s="274"/>
      <c r="R140" s="274"/>
      <c r="S140" s="3"/>
      <c r="T140" s="3"/>
      <c r="U140" s="3"/>
      <c r="V140" s="3"/>
    </row>
    <row r="141" spans="1:29">
      <c r="B141" s="15"/>
      <c r="C141" s="15"/>
      <c r="D141" s="15"/>
      <c r="E141" s="15"/>
      <c r="F141" s="15"/>
      <c r="G141" s="15"/>
      <c r="H141" s="15"/>
      <c r="I141" s="15"/>
      <c r="J141" s="15"/>
      <c r="K141" s="15"/>
      <c r="L141" s="15"/>
      <c r="M141" s="15"/>
      <c r="N141" s="15"/>
      <c r="O141" s="15"/>
      <c r="P141" s="15"/>
      <c r="Q141" s="15"/>
      <c r="R141" s="15"/>
      <c r="S141" s="15"/>
      <c r="T141" s="15"/>
      <c r="U141" s="15"/>
      <c r="V141" s="15"/>
    </row>
    <row r="142" spans="1:29" ht="15" customHeight="1">
      <c r="A142" s="396"/>
      <c r="B142" s="396"/>
      <c r="C142" s="396"/>
      <c r="D142" s="396"/>
      <c r="E142" s="396"/>
      <c r="F142" s="394" t="s">
        <v>0</v>
      </c>
      <c r="G142" s="394"/>
      <c r="H142" s="394"/>
      <c r="I142" s="394"/>
      <c r="J142" s="394"/>
      <c r="K142" s="394"/>
      <c r="L142" s="394"/>
      <c r="M142" s="394"/>
      <c r="N142" s="394"/>
      <c r="O142" s="394"/>
      <c r="P142" s="394"/>
      <c r="Q142" s="394"/>
      <c r="R142" s="396"/>
      <c r="S142" s="396"/>
      <c r="T142" s="396"/>
      <c r="U142" s="396"/>
      <c r="V142" s="396"/>
    </row>
    <row r="143" spans="1:29" ht="15" customHeight="1">
      <c r="A143" s="396"/>
      <c r="B143" s="396"/>
      <c r="C143" s="396"/>
      <c r="D143" s="396"/>
      <c r="E143" s="396"/>
      <c r="F143" s="394"/>
      <c r="G143" s="394"/>
      <c r="H143" s="394"/>
      <c r="I143" s="394"/>
      <c r="J143" s="394"/>
      <c r="K143" s="394"/>
      <c r="L143" s="394"/>
      <c r="M143" s="394"/>
      <c r="N143" s="394"/>
      <c r="O143" s="394"/>
      <c r="P143" s="394"/>
      <c r="Q143" s="394"/>
      <c r="R143" s="396"/>
      <c r="S143" s="396"/>
      <c r="T143" s="396"/>
      <c r="U143" s="396"/>
      <c r="V143" s="396"/>
    </row>
    <row r="144" spans="1:29" ht="15" customHeight="1">
      <c r="A144" s="396"/>
      <c r="B144" s="396"/>
      <c r="C144" s="396"/>
      <c r="D144" s="396"/>
      <c r="E144" s="396"/>
      <c r="F144" s="394"/>
      <c r="G144" s="394"/>
      <c r="H144" s="394"/>
      <c r="I144" s="394"/>
      <c r="J144" s="394"/>
      <c r="K144" s="394"/>
      <c r="L144" s="394"/>
      <c r="M144" s="394"/>
      <c r="N144" s="394"/>
      <c r="O144" s="394"/>
      <c r="P144" s="394"/>
      <c r="Q144" s="394"/>
      <c r="R144" s="396"/>
      <c r="S144" s="396"/>
      <c r="T144" s="396"/>
      <c r="U144" s="396"/>
      <c r="V144" s="396"/>
    </row>
    <row r="145" spans="1:25" ht="15" customHeight="1">
      <c r="A145" s="396"/>
      <c r="B145" s="396"/>
      <c r="C145" s="396"/>
      <c r="D145" s="396"/>
      <c r="E145" s="396"/>
      <c r="F145" s="394"/>
      <c r="G145" s="394"/>
      <c r="H145" s="394"/>
      <c r="I145" s="394"/>
      <c r="J145" s="394"/>
      <c r="K145" s="394"/>
      <c r="L145" s="394"/>
      <c r="M145" s="394"/>
      <c r="N145" s="394"/>
      <c r="O145" s="394"/>
      <c r="P145" s="394"/>
      <c r="Q145" s="394"/>
      <c r="R145" s="396"/>
      <c r="S145" s="396"/>
      <c r="T145" s="396"/>
      <c r="U145" s="396"/>
      <c r="V145" s="396"/>
    </row>
    <row r="146" spans="1:25" ht="15" customHeight="1">
      <c r="A146" s="396"/>
      <c r="B146" s="396"/>
      <c r="C146" s="396"/>
      <c r="D146" s="396"/>
      <c r="E146" s="396"/>
      <c r="F146" s="402" t="s">
        <v>209</v>
      </c>
      <c r="G146" s="402"/>
      <c r="H146" s="402"/>
      <c r="I146" s="402"/>
      <c r="J146" s="402"/>
      <c r="K146" s="402"/>
      <c r="L146" s="402"/>
      <c r="M146" s="402"/>
      <c r="N146" s="402"/>
      <c r="O146" s="402"/>
      <c r="P146" s="402"/>
      <c r="Q146" s="402"/>
      <c r="R146" s="396"/>
      <c r="S146" s="396"/>
      <c r="T146" s="396"/>
      <c r="U146" s="396"/>
      <c r="V146" s="396"/>
    </row>
    <row r="147" spans="1:25">
      <c r="A147" s="402" t="e">
        <f>A100</f>
        <v>#REF!</v>
      </c>
      <c r="B147" s="402"/>
      <c r="C147" s="402"/>
      <c r="D147" s="402"/>
      <c r="E147" s="402"/>
      <c r="F147" s="490" t="e">
        <f>F100</f>
        <v>#REF!</v>
      </c>
      <c r="G147" s="490"/>
      <c r="H147" s="490"/>
      <c r="I147" s="490"/>
      <c r="J147" s="490"/>
      <c r="K147" s="490"/>
      <c r="L147" s="490"/>
      <c r="M147" s="490"/>
      <c r="N147" s="490"/>
      <c r="O147" s="490"/>
      <c r="P147" s="490"/>
      <c r="Q147" s="490"/>
      <c r="R147" s="402" t="s">
        <v>204</v>
      </c>
      <c r="S147" s="402"/>
      <c r="T147" s="402"/>
      <c r="U147" s="402"/>
      <c r="V147" s="402"/>
    </row>
    <row r="148" spans="1:25">
      <c r="A148" s="402"/>
      <c r="B148" s="402"/>
      <c r="C148" s="402"/>
      <c r="D148" s="402"/>
      <c r="E148" s="402"/>
      <c r="F148" s="490"/>
      <c r="G148" s="490"/>
      <c r="H148" s="490"/>
      <c r="I148" s="490"/>
      <c r="J148" s="490"/>
      <c r="K148" s="490"/>
      <c r="L148" s="490"/>
      <c r="M148" s="490"/>
      <c r="N148" s="490"/>
      <c r="O148" s="490"/>
      <c r="P148" s="490"/>
      <c r="Q148" s="490"/>
      <c r="R148" s="402"/>
      <c r="S148" s="402"/>
      <c r="T148" s="402"/>
      <c r="U148" s="402"/>
      <c r="V148" s="402"/>
      <c r="W148" s="16"/>
    </row>
    <row r="150" spans="1:25">
      <c r="B150" s="353"/>
      <c r="C150" s="353"/>
      <c r="D150" s="353"/>
      <c r="E150" s="353"/>
      <c r="F150" s="353"/>
      <c r="G150" s="353"/>
      <c r="H150" s="353"/>
      <c r="J150" s="218"/>
      <c r="K150" s="218"/>
      <c r="L150" s="209">
        <f>(1-(('Seismic design'!J154-1)/('Seismic design'!P154*'Seismic design'!M154)))*(COVER!H154/1000)</f>
        <v>6.4115152474348562</v>
      </c>
      <c r="M150" s="209"/>
      <c r="N150" s="209"/>
      <c r="O150" s="209"/>
      <c r="P150" s="209"/>
      <c r="Q150" s="209"/>
      <c r="R150" s="209" t="s">
        <v>258</v>
      </c>
      <c r="S150" s="209"/>
      <c r="Y150" s="353"/>
    </row>
    <row r="151" spans="1:25">
      <c r="B151" s="353"/>
      <c r="C151" s="353"/>
      <c r="D151" s="353"/>
      <c r="E151" s="353"/>
      <c r="F151" s="353"/>
      <c r="G151" s="353"/>
      <c r="H151" s="353"/>
      <c r="J151" s="218"/>
      <c r="K151" s="218"/>
      <c r="L151" s="209"/>
      <c r="M151" s="209"/>
      <c r="N151" s="209"/>
      <c r="O151" s="209"/>
      <c r="P151" s="209"/>
      <c r="Q151" s="209"/>
      <c r="R151" s="209"/>
      <c r="S151" s="209"/>
      <c r="T151" s="18"/>
      <c r="U151" s="18"/>
      <c r="Y151" s="353"/>
    </row>
    <row r="152" spans="1:25" ht="15" customHeight="1">
      <c r="B152" s="353"/>
      <c r="C152" s="353"/>
      <c r="D152" s="353"/>
      <c r="E152" s="353"/>
      <c r="F152" s="353"/>
      <c r="G152" s="353"/>
      <c r="H152" s="353"/>
      <c r="I152" s="491" t="s">
        <v>93</v>
      </c>
      <c r="J152" s="482"/>
      <c r="K152" s="482"/>
      <c r="L152" s="482"/>
      <c r="M152" s="482"/>
      <c r="N152" s="482"/>
      <c r="O152" s="482"/>
      <c r="P152" s="482"/>
      <c r="Q152" s="482"/>
      <c r="R152" s="18"/>
      <c r="S152" s="18"/>
      <c r="T152" s="18"/>
      <c r="U152" s="18"/>
      <c r="Y152" s="353"/>
    </row>
    <row r="153" spans="1:25" ht="15" customHeight="1">
      <c r="B153" s="353"/>
      <c r="C153" s="353"/>
      <c r="D153" s="353"/>
      <c r="E153" s="353"/>
      <c r="F153" s="353"/>
      <c r="G153" s="353"/>
      <c r="H153" s="353"/>
      <c r="I153" s="491"/>
      <c r="J153" s="480"/>
      <c r="K153" s="480"/>
      <c r="L153" s="480"/>
      <c r="M153" s="480"/>
      <c r="N153" s="480"/>
      <c r="O153" s="480"/>
      <c r="P153" s="480"/>
      <c r="Q153" s="480"/>
      <c r="R153" s="18"/>
      <c r="S153" s="18"/>
      <c r="T153" s="18"/>
      <c r="U153" s="18"/>
      <c r="Y153" s="353"/>
    </row>
    <row r="154" spans="1:25">
      <c r="B154" s="353"/>
      <c r="C154" s="353"/>
      <c r="D154" s="353"/>
      <c r="E154" s="353"/>
      <c r="F154" s="353"/>
      <c r="G154" s="353"/>
      <c r="H154" s="353"/>
      <c r="J154" s="480">
        <f>COSH(P154)</f>
        <v>7.3407999838136035</v>
      </c>
      <c r="K154" s="480"/>
      <c r="L154" s="480"/>
      <c r="M154" s="480">
        <f>SINH(P154)</f>
        <v>7.2723685551791029</v>
      </c>
      <c r="N154" s="480"/>
      <c r="O154" s="480"/>
      <c r="P154" s="480">
        <f>3.67*(1/D105)</f>
        <v>2.6819230769230766</v>
      </c>
      <c r="Q154" s="480"/>
      <c r="R154" s="18"/>
      <c r="S154" s="18"/>
      <c r="T154" s="18"/>
      <c r="U154" s="18"/>
    </row>
    <row r="155" spans="1:25">
      <c r="B155" s="353"/>
      <c r="C155" s="353"/>
      <c r="D155" s="353"/>
      <c r="E155" s="353"/>
      <c r="F155" s="353"/>
      <c r="G155" s="353"/>
      <c r="H155" s="353"/>
      <c r="J155" s="480"/>
      <c r="K155" s="480"/>
      <c r="L155" s="480"/>
      <c r="M155" s="480"/>
      <c r="N155" s="480"/>
      <c r="O155" s="480"/>
      <c r="P155" s="480"/>
      <c r="Q155" s="480"/>
      <c r="R155" s="18"/>
      <c r="S155" s="18"/>
      <c r="T155" s="18"/>
      <c r="U155" s="18"/>
    </row>
    <row r="156" spans="1:25">
      <c r="B156" s="353"/>
      <c r="C156" s="353"/>
      <c r="D156" s="353"/>
      <c r="E156" s="353"/>
      <c r="F156" s="353"/>
      <c r="G156" s="353"/>
      <c r="H156" s="353"/>
    </row>
    <row r="157" spans="1:25">
      <c r="B157" s="353"/>
      <c r="C157" s="353"/>
      <c r="D157" s="353"/>
      <c r="E157" s="353"/>
      <c r="F157" s="353"/>
      <c r="G157" s="353"/>
      <c r="H157" s="353"/>
      <c r="J157" s="3"/>
      <c r="K157" s="3"/>
      <c r="L157" s="3"/>
      <c r="M157" s="3"/>
      <c r="N157" s="3"/>
      <c r="O157" s="3"/>
      <c r="P157" s="3"/>
      <c r="Q157" s="3"/>
      <c r="R157" s="3"/>
      <c r="S157" s="3"/>
      <c r="T157" s="3"/>
      <c r="U157" s="3"/>
    </row>
    <row r="158" spans="1:25">
      <c r="B158" s="353"/>
      <c r="C158" s="353"/>
      <c r="D158" s="353"/>
      <c r="E158" s="353"/>
      <c r="F158" s="353"/>
      <c r="G158" s="353"/>
      <c r="H158" s="353"/>
      <c r="I158" s="495" t="s">
        <v>93</v>
      </c>
      <c r="J158" s="209"/>
      <c r="K158" s="209"/>
      <c r="L158" s="209">
        <f>(0.5+(0.06*('Seismic design'!D105)))*(COVER!H154/1000)</f>
        <v>5.5299999999999994</v>
      </c>
      <c r="M158" s="209"/>
      <c r="N158" s="209"/>
      <c r="O158" s="209"/>
      <c r="P158" s="209"/>
      <c r="Q158" s="209" t="s">
        <v>258</v>
      </c>
      <c r="R158" s="3"/>
      <c r="S158" s="3"/>
      <c r="T158" s="3"/>
      <c r="U158" s="3"/>
    </row>
    <row r="159" spans="1:25">
      <c r="B159" s="353"/>
      <c r="C159" s="353"/>
      <c r="D159" s="353"/>
      <c r="E159" s="353"/>
      <c r="F159" s="353"/>
      <c r="G159" s="353"/>
      <c r="H159" s="353"/>
      <c r="I159" s="495"/>
      <c r="J159" s="209"/>
      <c r="K159" s="209"/>
      <c r="L159" s="209"/>
      <c r="M159" s="209"/>
      <c r="N159" s="209"/>
      <c r="O159" s="209"/>
      <c r="P159" s="209"/>
      <c r="Q159" s="209"/>
      <c r="R159" s="3"/>
      <c r="S159" s="3"/>
      <c r="T159" s="3"/>
      <c r="U159" s="3"/>
    </row>
    <row r="160" spans="1:25">
      <c r="B160" s="353"/>
      <c r="C160" s="353"/>
      <c r="D160" s="353"/>
      <c r="E160" s="353"/>
      <c r="F160" s="353"/>
      <c r="G160" s="353"/>
      <c r="H160" s="353"/>
      <c r="I160" s="495"/>
      <c r="J160" s="3"/>
      <c r="K160" s="3"/>
      <c r="L160" s="3"/>
      <c r="M160" s="3"/>
      <c r="N160" s="3"/>
      <c r="O160" s="3"/>
      <c r="P160" s="3"/>
      <c r="Q160" s="3"/>
      <c r="R160" s="3"/>
      <c r="S160" s="3"/>
      <c r="T160" s="3"/>
      <c r="U160" s="3"/>
    </row>
    <row r="161" spans="2:21">
      <c r="B161" s="353"/>
      <c r="C161" s="353"/>
      <c r="D161" s="353"/>
      <c r="E161" s="353"/>
      <c r="F161" s="353"/>
      <c r="G161" s="353"/>
      <c r="H161" s="353"/>
      <c r="J161" s="3"/>
      <c r="K161" s="3"/>
      <c r="L161" s="3"/>
      <c r="M161" s="3"/>
      <c r="N161" s="3"/>
      <c r="O161" s="3"/>
      <c r="P161" s="3"/>
      <c r="Q161" s="3"/>
      <c r="R161" s="3"/>
      <c r="S161" s="3"/>
      <c r="T161" s="3"/>
      <c r="U161" s="3"/>
    </row>
    <row r="162" spans="2:21">
      <c r="B162" s="353"/>
      <c r="C162" s="353"/>
      <c r="D162" s="353"/>
      <c r="E162" s="353"/>
      <c r="F162" s="353"/>
      <c r="G162" s="353"/>
      <c r="H162" s="353"/>
      <c r="J162" s="18"/>
      <c r="K162" s="18"/>
      <c r="L162" s="18"/>
      <c r="M162" s="18"/>
      <c r="N162" s="18"/>
      <c r="O162" s="18"/>
      <c r="P162" s="18"/>
      <c r="Q162" s="18"/>
      <c r="R162" s="18"/>
      <c r="S162" s="18"/>
      <c r="T162" s="18"/>
      <c r="U162" s="18"/>
    </row>
    <row r="163" spans="2:21">
      <c r="B163" s="353"/>
      <c r="C163" s="353"/>
      <c r="D163" s="353"/>
      <c r="E163" s="353"/>
      <c r="F163" s="353"/>
      <c r="G163" s="353"/>
      <c r="H163" s="353"/>
      <c r="I163" s="491" t="s">
        <v>93</v>
      </c>
      <c r="J163" s="480"/>
      <c r="K163" s="480"/>
      <c r="L163" s="480">
        <f>(1-((J154-1.937)/(P154*M154)))*(COVER!H154/1000)</f>
        <v>6.8679103743180452</v>
      </c>
      <c r="M163" s="480"/>
      <c r="N163" s="480"/>
      <c r="O163" s="480"/>
      <c r="P163" s="480"/>
      <c r="Q163" s="480" t="s">
        <v>258</v>
      </c>
      <c r="R163" s="18"/>
      <c r="S163" s="18"/>
      <c r="T163" s="18"/>
      <c r="U163" s="18"/>
    </row>
    <row r="164" spans="2:21">
      <c r="B164" s="353"/>
      <c r="C164" s="353"/>
      <c r="D164" s="353"/>
      <c r="E164" s="353"/>
      <c r="F164" s="353"/>
      <c r="G164" s="353"/>
      <c r="H164" s="353"/>
      <c r="I164" s="491"/>
      <c r="J164" s="480"/>
      <c r="K164" s="480"/>
      <c r="L164" s="480"/>
      <c r="M164" s="480"/>
      <c r="N164" s="480"/>
      <c r="O164" s="480"/>
      <c r="P164" s="480"/>
      <c r="Q164" s="480"/>
      <c r="R164" s="18"/>
      <c r="S164" s="18"/>
      <c r="T164" s="18"/>
      <c r="U164" s="18"/>
    </row>
    <row r="165" spans="2:21">
      <c r="B165" s="353"/>
      <c r="C165" s="353"/>
      <c r="D165" s="353"/>
      <c r="E165" s="353"/>
      <c r="F165" s="353"/>
      <c r="G165" s="353"/>
      <c r="H165" s="353"/>
      <c r="J165" s="18"/>
      <c r="K165" s="18"/>
      <c r="L165" s="18"/>
      <c r="M165" s="18"/>
      <c r="N165" s="18"/>
      <c r="O165" s="18"/>
      <c r="P165" s="18"/>
      <c r="Q165" s="18"/>
      <c r="R165" s="18"/>
      <c r="S165" s="18"/>
      <c r="T165" s="18"/>
      <c r="U165" s="18"/>
    </row>
    <row r="166" spans="2:21">
      <c r="B166" s="353"/>
      <c r="C166" s="353"/>
      <c r="D166" s="353"/>
      <c r="E166" s="353"/>
      <c r="F166" s="353"/>
      <c r="G166" s="353"/>
      <c r="H166" s="353"/>
      <c r="I166" s="17" t="s">
        <v>260</v>
      </c>
      <c r="J166" s="480" t="s">
        <v>261</v>
      </c>
      <c r="K166" s="480"/>
      <c r="L166" s="480" t="s">
        <v>262</v>
      </c>
      <c r="M166" s="480"/>
      <c r="N166" s="480" t="s">
        <v>263</v>
      </c>
      <c r="O166" s="480"/>
      <c r="P166" s="480" t="s">
        <v>264</v>
      </c>
      <c r="Q166" s="480"/>
      <c r="R166" s="480" t="s">
        <v>265</v>
      </c>
      <c r="S166" s="480"/>
      <c r="T166" s="18"/>
      <c r="U166" s="18"/>
    </row>
    <row r="167" spans="2:21" ht="15" customHeight="1">
      <c r="B167" s="478"/>
      <c r="C167" s="478"/>
      <c r="D167" s="478"/>
      <c r="E167" s="478"/>
      <c r="F167" s="478"/>
      <c r="G167" s="478"/>
      <c r="H167" s="479"/>
      <c r="I167" s="17">
        <v>1</v>
      </c>
      <c r="J167" s="209">
        <v>8</v>
      </c>
      <c r="K167" s="209"/>
      <c r="L167" s="218">
        <v>1500</v>
      </c>
      <c r="M167" s="218"/>
      <c r="N167" s="218">
        <f>L167/2</f>
        <v>750</v>
      </c>
      <c r="O167" s="218"/>
      <c r="P167" s="218">
        <f>L167*J167</f>
        <v>12000</v>
      </c>
      <c r="Q167" s="218"/>
      <c r="R167" s="218">
        <f>P167*N167</f>
        <v>9000000</v>
      </c>
      <c r="S167" s="218"/>
    </row>
    <row r="168" spans="2:21">
      <c r="B168" s="478"/>
      <c r="C168" s="478"/>
      <c r="D168" s="478"/>
      <c r="E168" s="478"/>
      <c r="F168" s="478"/>
      <c r="G168" s="478"/>
      <c r="H168" s="479"/>
      <c r="I168" s="17">
        <v>2</v>
      </c>
      <c r="J168" s="209">
        <v>6</v>
      </c>
      <c r="K168" s="209"/>
      <c r="L168" s="218">
        <v>1500</v>
      </c>
      <c r="M168" s="218"/>
      <c r="N168" s="218">
        <f>(L167/2)+(L168)</f>
        <v>2250</v>
      </c>
      <c r="O168" s="218"/>
      <c r="P168" s="218">
        <f t="shared" ref="P168:P173" si="0">L168*J168</f>
        <v>9000</v>
      </c>
      <c r="Q168" s="218"/>
      <c r="R168" s="218">
        <f t="shared" ref="R168:R173" si="1">P168*N168</f>
        <v>20250000</v>
      </c>
      <c r="S168" s="218"/>
    </row>
    <row r="169" spans="2:21">
      <c r="B169" s="481" t="s">
        <v>267</v>
      </c>
      <c r="C169" s="481"/>
      <c r="D169" s="481">
        <f>((R174)/(P174))/1000</f>
        <v>4.8269230769230775</v>
      </c>
      <c r="E169" s="481"/>
      <c r="F169" s="481"/>
      <c r="G169" s="481"/>
      <c r="H169" s="481" t="s">
        <v>258</v>
      </c>
      <c r="I169" s="17">
        <v>3</v>
      </c>
      <c r="J169" s="209">
        <v>5</v>
      </c>
      <c r="K169" s="209"/>
      <c r="L169" s="218">
        <v>1500</v>
      </c>
      <c r="M169" s="218"/>
      <c r="N169" s="218">
        <f>(L169/2)+(L168+L167)</f>
        <v>3750</v>
      </c>
      <c r="O169" s="218"/>
      <c r="P169" s="218">
        <f t="shared" si="0"/>
        <v>7500</v>
      </c>
      <c r="Q169" s="218"/>
      <c r="R169" s="218">
        <f t="shared" si="1"/>
        <v>28125000</v>
      </c>
      <c r="S169" s="218"/>
    </row>
    <row r="170" spans="2:21">
      <c r="B170" s="481"/>
      <c r="C170" s="481"/>
      <c r="D170" s="481"/>
      <c r="E170" s="481"/>
      <c r="F170" s="481"/>
      <c r="G170" s="481"/>
      <c r="H170" s="481"/>
      <c r="I170" s="17">
        <v>4</v>
      </c>
      <c r="J170" s="209">
        <v>5</v>
      </c>
      <c r="K170" s="209"/>
      <c r="L170" s="218">
        <v>1500</v>
      </c>
      <c r="M170" s="218"/>
      <c r="N170" s="356">
        <f>(L170/2)+(L167+L168+L169)</f>
        <v>5250</v>
      </c>
      <c r="O170" s="357"/>
      <c r="P170" s="218">
        <f t="shared" si="0"/>
        <v>7500</v>
      </c>
      <c r="Q170" s="218"/>
      <c r="R170" s="218">
        <f t="shared" si="1"/>
        <v>39375000</v>
      </c>
      <c r="S170" s="218"/>
    </row>
    <row r="171" spans="2:21">
      <c r="B171" s="20"/>
      <c r="C171" s="20"/>
      <c r="D171" s="20"/>
      <c r="E171" s="20"/>
      <c r="F171" s="20"/>
      <c r="G171" s="20"/>
      <c r="H171" s="20"/>
      <c r="I171" s="17">
        <v>5</v>
      </c>
      <c r="J171" s="209">
        <v>5</v>
      </c>
      <c r="K171" s="209"/>
      <c r="L171" s="218">
        <v>1500</v>
      </c>
      <c r="M171" s="218"/>
      <c r="N171" s="218">
        <f>(L171/2)+(L167+L168+L169+L170)</f>
        <v>6750</v>
      </c>
      <c r="O171" s="218"/>
      <c r="P171" s="218">
        <f t="shared" si="0"/>
        <v>7500</v>
      </c>
      <c r="Q171" s="218"/>
      <c r="R171" s="218">
        <f t="shared" si="1"/>
        <v>50625000</v>
      </c>
      <c r="S171" s="218"/>
    </row>
    <row r="172" spans="2:21" ht="15" customHeight="1">
      <c r="B172" s="419" t="s">
        <v>268</v>
      </c>
      <c r="C172" s="419"/>
      <c r="D172" s="419" t="e">
        <f>COVER!#REF!/1000</f>
        <v>#REF!</v>
      </c>
      <c r="E172" s="419"/>
      <c r="F172" s="419"/>
      <c r="G172" s="419" t="s">
        <v>258</v>
      </c>
      <c r="H172" s="419"/>
      <c r="I172" s="17">
        <v>6</v>
      </c>
      <c r="J172" s="209">
        <v>5</v>
      </c>
      <c r="K172" s="209"/>
      <c r="L172" s="218">
        <v>1500</v>
      </c>
      <c r="M172" s="218"/>
      <c r="N172" s="218">
        <f>(L172/2)+(L167+L168+L169+L170+L171)</f>
        <v>8250</v>
      </c>
      <c r="O172" s="218"/>
      <c r="P172" s="218">
        <f t="shared" si="0"/>
        <v>7500</v>
      </c>
      <c r="Q172" s="218"/>
      <c r="R172" s="218">
        <f t="shared" si="1"/>
        <v>61875000</v>
      </c>
      <c r="S172" s="218"/>
    </row>
    <row r="173" spans="2:21" ht="15" customHeight="1">
      <c r="B173" s="419"/>
      <c r="C173" s="419"/>
      <c r="D173" s="419"/>
      <c r="E173" s="419"/>
      <c r="F173" s="419"/>
      <c r="G173" s="419"/>
      <c r="H173" s="419"/>
      <c r="I173" s="17">
        <v>7</v>
      </c>
      <c r="J173" s="209">
        <v>5</v>
      </c>
      <c r="K173" s="209"/>
      <c r="L173" s="218">
        <v>1500</v>
      </c>
      <c r="M173" s="218"/>
      <c r="N173" s="218">
        <f>(L173/2)+(L167+L168+L169+L170+L171+L172)</f>
        <v>9750</v>
      </c>
      <c r="O173" s="218"/>
      <c r="P173" s="218">
        <f t="shared" si="0"/>
        <v>7500</v>
      </c>
      <c r="Q173" s="218"/>
      <c r="R173" s="218">
        <f t="shared" si="1"/>
        <v>73125000</v>
      </c>
      <c r="S173" s="218"/>
    </row>
    <row r="174" spans="2:21" ht="15" customHeight="1">
      <c r="B174" s="19"/>
      <c r="C174" s="19"/>
      <c r="D174" s="19"/>
      <c r="E174" s="19"/>
      <c r="F174" s="19"/>
      <c r="G174" s="19"/>
      <c r="H174" s="19"/>
      <c r="I174" s="218" t="s">
        <v>266</v>
      </c>
      <c r="J174" s="218"/>
      <c r="K174" s="218"/>
      <c r="L174" s="218"/>
      <c r="M174" s="218"/>
      <c r="N174" s="218"/>
      <c r="O174" s="218"/>
      <c r="P174" s="218">
        <f>SUM(P167:Q173)</f>
        <v>58500</v>
      </c>
      <c r="Q174" s="218"/>
      <c r="R174" s="218">
        <f>SUM(R167:S173)</f>
        <v>282375000</v>
      </c>
      <c r="S174" s="218"/>
    </row>
    <row r="175" spans="2:21">
      <c r="B175" s="410" t="s">
        <v>259</v>
      </c>
      <c r="C175" s="410"/>
      <c r="D175" s="410"/>
      <c r="E175" s="410"/>
      <c r="F175" s="410"/>
      <c r="G175" s="410"/>
      <c r="H175" s="410"/>
      <c r="I175" s="410"/>
      <c r="J175" s="410"/>
      <c r="K175" s="3"/>
      <c r="L175" s="3"/>
    </row>
    <row r="176" spans="2:21">
      <c r="B176" s="410"/>
      <c r="C176" s="410"/>
      <c r="D176" s="410"/>
      <c r="E176" s="410"/>
      <c r="F176" s="410"/>
      <c r="G176" s="410"/>
      <c r="H176" s="410"/>
      <c r="I176" s="410"/>
      <c r="J176" s="410"/>
      <c r="K176" s="3"/>
      <c r="L176" s="3"/>
      <c r="O176" s="209" t="s">
        <v>269</v>
      </c>
      <c r="P176" s="209"/>
      <c r="Q176" s="209">
        <f>Q128*T137</f>
        <v>21067655.671878193</v>
      </c>
      <c r="R176" s="209" t="s">
        <v>231</v>
      </c>
      <c r="S176" s="209"/>
    </row>
    <row r="177" spans="1:24">
      <c r="B177" s="274" t="s">
        <v>104</v>
      </c>
      <c r="C177" s="274"/>
      <c r="D177" s="274"/>
      <c r="E177" s="274"/>
      <c r="F177" s="274"/>
      <c r="G177" s="274"/>
      <c r="H177" s="274"/>
      <c r="I177" s="274"/>
      <c r="J177" s="274"/>
      <c r="K177" s="3"/>
      <c r="L177" s="3"/>
      <c r="O177" s="209"/>
      <c r="P177" s="209"/>
      <c r="Q177" s="209"/>
      <c r="R177" s="209"/>
      <c r="S177" s="209"/>
    </row>
    <row r="178" spans="1:24">
      <c r="B178" s="353"/>
      <c r="C178" s="353"/>
      <c r="D178" s="353"/>
      <c r="E178" s="353"/>
      <c r="F178" s="353"/>
      <c r="G178" s="353"/>
      <c r="H178" s="353"/>
      <c r="I178" s="353"/>
      <c r="J178" s="353"/>
      <c r="K178" s="353"/>
      <c r="L178" s="353"/>
      <c r="M178" s="353"/>
      <c r="N178" s="353"/>
      <c r="O178" s="209" t="s">
        <v>270</v>
      </c>
      <c r="P178" s="209"/>
      <c r="Q178" s="209">
        <f>Q122*D169</f>
        <v>989786.92989160388</v>
      </c>
      <c r="R178" s="209" t="s">
        <v>231</v>
      </c>
      <c r="S178" s="209"/>
    </row>
    <row r="179" spans="1:24">
      <c r="B179" s="353"/>
      <c r="C179" s="353"/>
      <c r="D179" s="353"/>
      <c r="E179" s="353"/>
      <c r="F179" s="353"/>
      <c r="G179" s="353"/>
      <c r="H179" s="353"/>
      <c r="I179" s="353"/>
      <c r="J179" s="353"/>
      <c r="K179" s="353"/>
      <c r="L179" s="353"/>
      <c r="M179" s="353"/>
      <c r="N179" s="353"/>
      <c r="O179" s="209"/>
      <c r="P179" s="209"/>
      <c r="Q179" s="209"/>
      <c r="R179" s="209"/>
      <c r="S179" s="209"/>
    </row>
    <row r="180" spans="1:24">
      <c r="B180" s="353"/>
      <c r="C180" s="353"/>
      <c r="D180" s="353"/>
      <c r="E180" s="353"/>
      <c r="F180" s="353"/>
      <c r="G180" s="353"/>
      <c r="H180" s="353"/>
      <c r="I180" s="353"/>
      <c r="J180" s="353"/>
      <c r="K180" s="353"/>
      <c r="L180" s="353"/>
      <c r="M180" s="353"/>
      <c r="N180" s="353"/>
      <c r="O180" s="209" t="s">
        <v>271</v>
      </c>
      <c r="P180" s="209"/>
      <c r="Q180" s="209" t="e">
        <f>Q124*D172</f>
        <v>#REF!</v>
      </c>
      <c r="R180" s="209" t="s">
        <v>231</v>
      </c>
      <c r="S180" s="209"/>
    </row>
    <row r="181" spans="1:24">
      <c r="B181" s="353"/>
      <c r="C181" s="353"/>
      <c r="D181" s="353"/>
      <c r="E181" s="353"/>
      <c r="F181" s="353"/>
      <c r="G181" s="353"/>
      <c r="H181" s="353"/>
      <c r="I181" s="353"/>
      <c r="J181" s="353"/>
      <c r="K181" s="353"/>
      <c r="L181" s="353"/>
      <c r="M181" s="353"/>
      <c r="N181" s="353"/>
      <c r="O181" s="209"/>
      <c r="P181" s="209"/>
      <c r="Q181" s="209"/>
      <c r="R181" s="209"/>
      <c r="S181" s="209"/>
    </row>
    <row r="182" spans="1:24">
      <c r="B182" s="209"/>
      <c r="C182" s="209"/>
      <c r="D182" s="209" t="e">
        <f>(((0.28*(Q176+Q178+Q180))^2)+((0.2*Q182)^2))^0.5</f>
        <v>#REF!</v>
      </c>
      <c r="E182" s="209"/>
      <c r="F182" s="209"/>
      <c r="G182" s="209"/>
      <c r="H182" s="209"/>
      <c r="I182" s="209"/>
      <c r="J182" s="209"/>
      <c r="K182" s="209"/>
      <c r="L182" s="209" t="s">
        <v>231</v>
      </c>
      <c r="M182" s="209"/>
      <c r="O182" s="209" t="s">
        <v>272</v>
      </c>
      <c r="P182" s="209"/>
      <c r="Q182" s="209">
        <f>J116*L150</f>
        <v>11079049.58790184</v>
      </c>
      <c r="R182" s="209" t="s">
        <v>231</v>
      </c>
      <c r="S182" s="209"/>
    </row>
    <row r="183" spans="1:24">
      <c r="B183" s="209"/>
      <c r="C183" s="209"/>
      <c r="D183" s="209"/>
      <c r="E183" s="209"/>
      <c r="F183" s="209"/>
      <c r="G183" s="209"/>
      <c r="H183" s="209"/>
      <c r="I183" s="209"/>
      <c r="J183" s="209"/>
      <c r="K183" s="209"/>
      <c r="L183" s="209"/>
      <c r="M183" s="209"/>
      <c r="O183" s="209"/>
      <c r="P183" s="209"/>
      <c r="Q183" s="209"/>
      <c r="R183" s="209"/>
      <c r="S183" s="209"/>
      <c r="W183" s="11"/>
    </row>
    <row r="184" spans="1:24">
      <c r="O184" s="209" t="s">
        <v>273</v>
      </c>
      <c r="P184" s="209"/>
      <c r="Q184" s="484">
        <f>Q128*L158</f>
        <v>25174842.444679197</v>
      </c>
      <c r="R184" s="209" t="s">
        <v>231</v>
      </c>
      <c r="S184" s="209"/>
      <c r="W184" s="12"/>
      <c r="X184" s="11"/>
    </row>
    <row r="185" spans="1:24">
      <c r="O185" s="205"/>
      <c r="P185" s="205"/>
      <c r="Q185" s="489"/>
      <c r="R185" s="205"/>
      <c r="S185" s="205"/>
    </row>
    <row r="186" spans="1:24">
      <c r="B186" s="353"/>
      <c r="C186" s="353"/>
      <c r="D186" s="353"/>
      <c r="E186" s="353"/>
      <c r="F186" s="353"/>
      <c r="G186" s="353"/>
      <c r="H186" s="353"/>
      <c r="I186" s="353"/>
      <c r="J186" s="353"/>
      <c r="K186" s="353"/>
      <c r="L186" s="353"/>
      <c r="N186" s="3"/>
      <c r="O186" s="209" t="s">
        <v>274</v>
      </c>
      <c r="P186" s="209"/>
      <c r="Q186" s="209">
        <f>Q122*L163</f>
        <v>1408302.5181541098</v>
      </c>
      <c r="R186" s="209" t="s">
        <v>231</v>
      </c>
      <c r="S186" s="209"/>
    </row>
    <row r="187" spans="1:24">
      <c r="B187" s="353"/>
      <c r="C187" s="353"/>
      <c r="D187" s="353"/>
      <c r="E187" s="353"/>
      <c r="F187" s="353"/>
      <c r="G187" s="353"/>
      <c r="H187" s="353"/>
      <c r="I187" s="353"/>
      <c r="J187" s="353"/>
      <c r="K187" s="353"/>
      <c r="L187" s="353"/>
      <c r="N187" s="3"/>
      <c r="O187" s="209"/>
      <c r="P187" s="209"/>
      <c r="Q187" s="209"/>
      <c r="R187" s="209"/>
      <c r="S187" s="209"/>
    </row>
    <row r="188" spans="1:24">
      <c r="N188" s="1"/>
      <c r="O188" s="1"/>
      <c r="P188" s="1"/>
      <c r="Q188" s="1"/>
    </row>
    <row r="189" spans="1:24" ht="15" customHeight="1">
      <c r="A189" s="396"/>
      <c r="B189" s="396"/>
      <c r="C189" s="396"/>
      <c r="D189" s="396"/>
      <c r="E189" s="396"/>
      <c r="F189" s="394" t="s">
        <v>0</v>
      </c>
      <c r="G189" s="394"/>
      <c r="H189" s="394"/>
      <c r="I189" s="394"/>
      <c r="J189" s="394"/>
      <c r="K189" s="394"/>
      <c r="L189" s="394"/>
      <c r="M189" s="394"/>
      <c r="N189" s="394"/>
      <c r="O189" s="394"/>
      <c r="P189" s="394"/>
      <c r="Q189" s="394"/>
      <c r="R189" s="396"/>
      <c r="S189" s="396"/>
      <c r="T189" s="396"/>
      <c r="U189" s="396"/>
      <c r="V189" s="396"/>
    </row>
    <row r="190" spans="1:24" ht="15" customHeight="1">
      <c r="A190" s="396"/>
      <c r="B190" s="396"/>
      <c r="C190" s="396"/>
      <c r="D190" s="396"/>
      <c r="E190" s="396"/>
      <c r="F190" s="394"/>
      <c r="G190" s="394"/>
      <c r="H190" s="394"/>
      <c r="I190" s="394"/>
      <c r="J190" s="394"/>
      <c r="K190" s="394"/>
      <c r="L190" s="394"/>
      <c r="M190" s="394"/>
      <c r="N190" s="394"/>
      <c r="O190" s="394"/>
      <c r="P190" s="394"/>
      <c r="Q190" s="394"/>
      <c r="R190" s="396"/>
      <c r="S190" s="396"/>
      <c r="T190" s="396"/>
      <c r="U190" s="396"/>
      <c r="V190" s="396"/>
    </row>
    <row r="191" spans="1:24" ht="15" customHeight="1">
      <c r="A191" s="396"/>
      <c r="B191" s="396"/>
      <c r="C191" s="396"/>
      <c r="D191" s="396"/>
      <c r="E191" s="396"/>
      <c r="F191" s="394"/>
      <c r="G191" s="394"/>
      <c r="H191" s="394"/>
      <c r="I191" s="394"/>
      <c r="J191" s="394"/>
      <c r="K191" s="394"/>
      <c r="L191" s="394"/>
      <c r="M191" s="394"/>
      <c r="N191" s="394"/>
      <c r="O191" s="394"/>
      <c r="P191" s="394"/>
      <c r="Q191" s="394"/>
      <c r="R191" s="396"/>
      <c r="S191" s="396"/>
      <c r="T191" s="396"/>
      <c r="U191" s="396"/>
      <c r="V191" s="396"/>
    </row>
    <row r="192" spans="1:24" ht="15" customHeight="1">
      <c r="A192" s="396"/>
      <c r="B192" s="396"/>
      <c r="C192" s="396"/>
      <c r="D192" s="396"/>
      <c r="E192" s="396"/>
      <c r="F192" s="394"/>
      <c r="G192" s="394"/>
      <c r="H192" s="394"/>
      <c r="I192" s="394"/>
      <c r="J192" s="394"/>
      <c r="K192" s="394"/>
      <c r="L192" s="394"/>
      <c r="M192" s="394"/>
      <c r="N192" s="394"/>
      <c r="O192" s="394"/>
      <c r="P192" s="394"/>
      <c r="Q192" s="394"/>
      <c r="R192" s="396"/>
      <c r="S192" s="396"/>
      <c r="T192" s="396"/>
      <c r="U192" s="396"/>
      <c r="V192" s="396"/>
    </row>
    <row r="193" spans="1:23" ht="15" customHeight="1">
      <c r="A193" s="396"/>
      <c r="B193" s="396"/>
      <c r="C193" s="396"/>
      <c r="D193" s="396"/>
      <c r="E193" s="396"/>
      <c r="F193" s="402" t="s">
        <v>209</v>
      </c>
      <c r="G193" s="402"/>
      <c r="H193" s="402"/>
      <c r="I193" s="402"/>
      <c r="J193" s="402"/>
      <c r="K193" s="402"/>
      <c r="L193" s="402"/>
      <c r="M193" s="402"/>
      <c r="N193" s="402"/>
      <c r="O193" s="402"/>
      <c r="P193" s="402"/>
      <c r="Q193" s="402"/>
      <c r="R193" s="396"/>
      <c r="S193" s="396"/>
      <c r="T193" s="396"/>
      <c r="U193" s="396"/>
      <c r="V193" s="396"/>
    </row>
    <row r="194" spans="1:23">
      <c r="A194" s="402" t="e">
        <f>A100</f>
        <v>#REF!</v>
      </c>
      <c r="B194" s="402"/>
      <c r="C194" s="402"/>
      <c r="D194" s="402"/>
      <c r="E194" s="402"/>
      <c r="F194" s="490" t="e">
        <f>F147</f>
        <v>#REF!</v>
      </c>
      <c r="G194" s="490"/>
      <c r="H194" s="490"/>
      <c r="I194" s="490"/>
      <c r="J194" s="490"/>
      <c r="K194" s="490"/>
      <c r="L194" s="490"/>
      <c r="M194" s="490"/>
      <c r="N194" s="490"/>
      <c r="O194" s="490"/>
      <c r="P194" s="490"/>
      <c r="Q194" s="490"/>
      <c r="R194" s="402" t="s">
        <v>203</v>
      </c>
      <c r="S194" s="402"/>
      <c r="T194" s="402"/>
      <c r="U194" s="402"/>
      <c r="V194" s="402"/>
    </row>
    <row r="195" spans="1:23">
      <c r="A195" s="402"/>
      <c r="B195" s="402"/>
      <c r="C195" s="402"/>
      <c r="D195" s="402"/>
      <c r="E195" s="402"/>
      <c r="F195" s="490"/>
      <c r="G195" s="490"/>
      <c r="H195" s="490"/>
      <c r="I195" s="490"/>
      <c r="J195" s="490"/>
      <c r="K195" s="490"/>
      <c r="L195" s="490"/>
      <c r="M195" s="490"/>
      <c r="N195" s="490"/>
      <c r="O195" s="490"/>
      <c r="P195" s="490"/>
      <c r="Q195" s="490"/>
      <c r="R195" s="402"/>
      <c r="S195" s="402"/>
      <c r="T195" s="402"/>
      <c r="U195" s="402"/>
      <c r="V195" s="402"/>
    </row>
    <row r="197" spans="1:23">
      <c r="B197" s="433" t="s">
        <v>105</v>
      </c>
      <c r="C197" s="433"/>
      <c r="D197" s="433"/>
      <c r="E197" s="433"/>
      <c r="F197" s="433"/>
      <c r="G197" s="433"/>
      <c r="H197" s="433"/>
      <c r="I197" s="433"/>
    </row>
    <row r="198" spans="1:23">
      <c r="B198" s="433"/>
      <c r="C198" s="433"/>
      <c r="D198" s="433"/>
      <c r="E198" s="433"/>
      <c r="F198" s="433"/>
      <c r="G198" s="433"/>
      <c r="H198" s="433"/>
      <c r="I198" s="433"/>
    </row>
    <row r="199" spans="1:23">
      <c r="B199" s="274"/>
      <c r="C199" s="274"/>
      <c r="D199" s="274"/>
      <c r="E199" s="274"/>
      <c r="F199" s="274"/>
      <c r="G199" s="274"/>
      <c r="H199" s="274"/>
      <c r="I199" s="274"/>
      <c r="J199" s="274"/>
      <c r="K199" s="274"/>
      <c r="L199" s="274"/>
      <c r="M199" s="274"/>
      <c r="N199" s="274"/>
      <c r="O199" s="274"/>
      <c r="P199" s="274"/>
      <c r="Q199" s="274"/>
      <c r="R199" s="274"/>
      <c r="S199" s="3"/>
      <c r="T199" s="3"/>
      <c r="U199" s="3"/>
    </row>
    <row r="200" spans="1:23">
      <c r="B200" s="274"/>
      <c r="C200" s="274"/>
      <c r="D200" s="274"/>
      <c r="E200" s="274"/>
      <c r="F200" s="274"/>
      <c r="G200" s="274"/>
      <c r="H200" s="274"/>
      <c r="I200" s="274"/>
      <c r="J200" s="274"/>
      <c r="K200" s="274"/>
      <c r="L200" s="274"/>
      <c r="M200" s="274"/>
      <c r="N200" s="274"/>
      <c r="O200" s="274"/>
      <c r="P200" s="274"/>
      <c r="Q200" s="274"/>
      <c r="R200" s="274"/>
      <c r="S200" s="3"/>
      <c r="T200" s="3"/>
      <c r="U200" s="3"/>
    </row>
    <row r="201" spans="1:23">
      <c r="B201" s="274"/>
      <c r="C201" s="274"/>
      <c r="D201" s="274"/>
      <c r="E201" s="274"/>
      <c r="F201" s="274"/>
      <c r="G201" s="274"/>
      <c r="H201" s="274"/>
      <c r="I201" s="274"/>
      <c r="J201" s="274"/>
      <c r="K201" s="274"/>
      <c r="L201" s="274"/>
      <c r="M201" s="274"/>
      <c r="N201" s="274"/>
      <c r="O201" s="274"/>
      <c r="P201" s="274"/>
      <c r="Q201" s="274"/>
      <c r="R201" s="274"/>
    </row>
    <row r="202" spans="1:23">
      <c r="B202" s="274"/>
      <c r="C202" s="274"/>
      <c r="D202" s="274"/>
      <c r="E202" s="274"/>
      <c r="F202" s="274"/>
      <c r="G202" s="274"/>
      <c r="H202" s="274"/>
      <c r="I202" s="274"/>
      <c r="J202" s="274"/>
      <c r="K202" s="274"/>
      <c r="L202" s="274"/>
      <c r="M202" s="274"/>
      <c r="N202" s="274"/>
      <c r="O202" s="274"/>
      <c r="P202" s="274"/>
      <c r="Q202" s="274"/>
      <c r="R202" s="274"/>
    </row>
    <row r="203" spans="1:23">
      <c r="B203" s="274"/>
      <c r="C203" s="274"/>
      <c r="D203" s="274"/>
      <c r="E203" s="274"/>
      <c r="F203" s="274"/>
      <c r="G203" s="274"/>
      <c r="H203" s="274"/>
      <c r="I203" s="274"/>
      <c r="J203" s="274"/>
      <c r="K203" s="274"/>
      <c r="L203" s="274"/>
      <c r="M203" s="274"/>
      <c r="N203" s="274"/>
      <c r="O203" s="274"/>
      <c r="P203" s="274"/>
      <c r="Q203" s="274"/>
      <c r="R203" s="274"/>
    </row>
    <row r="204" spans="1:23">
      <c r="B204" s="218"/>
      <c r="C204" s="218"/>
      <c r="D204" s="209" t="e">
        <f>(((0.28*(Q184+Q178+Q180))^2)+((0.2*Q186)^2))^0.5</f>
        <v>#REF!</v>
      </c>
      <c r="E204" s="209"/>
      <c r="F204" s="209"/>
      <c r="G204" s="209"/>
      <c r="H204" s="209"/>
      <c r="I204" s="209"/>
      <c r="J204" s="209"/>
      <c r="K204" s="209"/>
      <c r="L204" s="209"/>
      <c r="M204" s="209"/>
      <c r="N204" s="209"/>
      <c r="O204" s="209" t="s">
        <v>231</v>
      </c>
      <c r="P204" s="209"/>
      <c r="Q204" s="209"/>
      <c r="R204" s="209"/>
    </row>
    <row r="205" spans="1:23">
      <c r="B205" s="218"/>
      <c r="C205" s="218"/>
      <c r="D205" s="209"/>
      <c r="E205" s="209"/>
      <c r="F205" s="209"/>
      <c r="G205" s="209"/>
      <c r="H205" s="209"/>
      <c r="I205" s="209"/>
      <c r="J205" s="209"/>
      <c r="K205" s="209"/>
      <c r="L205" s="209"/>
      <c r="M205" s="209"/>
      <c r="N205" s="209"/>
      <c r="O205" s="209"/>
      <c r="P205" s="209"/>
      <c r="Q205" s="209"/>
      <c r="R205" s="209"/>
    </row>
    <row r="206" spans="1:23">
      <c r="B206" s="218"/>
      <c r="C206" s="218"/>
      <c r="D206" s="209"/>
      <c r="E206" s="209"/>
      <c r="F206" s="209"/>
      <c r="G206" s="209"/>
      <c r="H206" s="209"/>
      <c r="I206" s="209"/>
      <c r="J206" s="209"/>
      <c r="K206" s="209"/>
      <c r="L206" s="209"/>
      <c r="M206" s="209"/>
      <c r="N206" s="209"/>
      <c r="O206" s="209"/>
      <c r="P206" s="209"/>
      <c r="Q206" s="209"/>
      <c r="R206" s="209"/>
      <c r="W206" s="11"/>
    </row>
    <row r="207" spans="1:23">
      <c r="B207" s="353"/>
      <c r="C207" s="353"/>
      <c r="D207" s="353"/>
      <c r="E207" s="353"/>
      <c r="F207" s="353"/>
      <c r="G207" s="353"/>
      <c r="H207" s="353"/>
      <c r="I207" s="353"/>
      <c r="J207" s="353"/>
      <c r="K207" s="353"/>
      <c r="L207" s="353"/>
      <c r="M207" s="353"/>
      <c r="N207" s="353"/>
      <c r="O207" s="353"/>
      <c r="P207" s="353"/>
      <c r="Q207" s="353"/>
      <c r="R207" s="353"/>
      <c r="S207" s="353"/>
      <c r="T207" s="353"/>
      <c r="U207" s="353"/>
    </row>
    <row r="208" spans="1:23">
      <c r="B208" s="353"/>
      <c r="C208" s="353"/>
      <c r="D208" s="353"/>
      <c r="E208" s="353"/>
      <c r="F208" s="353"/>
      <c r="G208" s="353"/>
      <c r="H208" s="353"/>
      <c r="I208" s="353"/>
      <c r="J208" s="353"/>
      <c r="K208" s="353"/>
      <c r="L208" s="353"/>
      <c r="M208" s="353"/>
      <c r="N208" s="353"/>
      <c r="O208" s="353"/>
      <c r="P208" s="353"/>
      <c r="Q208" s="353"/>
      <c r="R208" s="353"/>
      <c r="S208" s="353"/>
      <c r="T208" s="353"/>
      <c r="U208" s="353"/>
    </row>
    <row r="209" spans="2:21">
      <c r="B209" s="353"/>
      <c r="C209" s="353"/>
      <c r="D209" s="353"/>
      <c r="E209" s="353"/>
      <c r="F209" s="353"/>
      <c r="G209" s="353"/>
      <c r="H209" s="353"/>
      <c r="I209" s="353"/>
      <c r="J209" s="353"/>
      <c r="K209" s="353"/>
      <c r="L209" s="353"/>
      <c r="M209" s="353"/>
      <c r="N209" s="353"/>
      <c r="O209" s="353"/>
      <c r="P209" s="353"/>
      <c r="Q209" s="353"/>
      <c r="R209" s="353"/>
      <c r="S209" s="353"/>
      <c r="T209" s="353"/>
      <c r="U209" s="353"/>
    </row>
  </sheetData>
  <mergeCells count="206">
    <mergeCell ref="B9:H10"/>
    <mergeCell ref="B11:U17"/>
    <mergeCell ref="B18:U27"/>
    <mergeCell ref="B28:J29"/>
    <mergeCell ref="B30:U39"/>
    <mergeCell ref="A1:E5"/>
    <mergeCell ref="R1:V5"/>
    <mergeCell ref="A6:E7"/>
    <mergeCell ref="R6:V7"/>
    <mergeCell ref="F1:Q4"/>
    <mergeCell ref="F5:Q5"/>
    <mergeCell ref="F6:Q7"/>
    <mergeCell ref="H57:I58"/>
    <mergeCell ref="J56:O59"/>
    <mergeCell ref="P56:V59"/>
    <mergeCell ref="B40:U46"/>
    <mergeCell ref="A48:E52"/>
    <mergeCell ref="R48:V52"/>
    <mergeCell ref="A53:E54"/>
    <mergeCell ref="R53:V54"/>
    <mergeCell ref="F48:Q51"/>
    <mergeCell ref="F52:Q52"/>
    <mergeCell ref="F53:Q54"/>
    <mergeCell ref="B56:D59"/>
    <mergeCell ref="E56:G59"/>
    <mergeCell ref="B84:O85"/>
    <mergeCell ref="B86:I90"/>
    <mergeCell ref="J86:U90"/>
    <mergeCell ref="B91:U94"/>
    <mergeCell ref="B60:M65"/>
    <mergeCell ref="B66:N67"/>
    <mergeCell ref="B68:U71"/>
    <mergeCell ref="B74:J75"/>
    <mergeCell ref="B76:Q83"/>
    <mergeCell ref="N60:P61"/>
    <mergeCell ref="Q60:Q61"/>
    <mergeCell ref="B103:P104"/>
    <mergeCell ref="B107:U112"/>
    <mergeCell ref="A95:E99"/>
    <mergeCell ref="R95:V99"/>
    <mergeCell ref="A100:E101"/>
    <mergeCell ref="R100:V101"/>
    <mergeCell ref="F95:Q98"/>
    <mergeCell ref="F99:Q99"/>
    <mergeCell ref="F100:Q101"/>
    <mergeCell ref="B186:L187"/>
    <mergeCell ref="B113:M115"/>
    <mergeCell ref="B116:H118"/>
    <mergeCell ref="J116:U118"/>
    <mergeCell ref="B119:J121"/>
    <mergeCell ref="B122:M131"/>
    <mergeCell ref="W129:AC129"/>
    <mergeCell ref="W130:AC130"/>
    <mergeCell ref="B132:C133"/>
    <mergeCell ref="D132:H133"/>
    <mergeCell ref="I132:N133"/>
    <mergeCell ref="O184:P185"/>
    <mergeCell ref="Q184:Q185"/>
    <mergeCell ref="R184:S185"/>
    <mergeCell ref="O186:P187"/>
    <mergeCell ref="Q186:Q187"/>
    <mergeCell ref="R186:S187"/>
    <mergeCell ref="B157:H161"/>
    <mergeCell ref="I158:I160"/>
    <mergeCell ref="B162:H166"/>
    <mergeCell ref="I163:I164"/>
    <mergeCell ref="J158:K159"/>
    <mergeCell ref="L158:P159"/>
    <mergeCell ref="Q158:Q159"/>
    <mergeCell ref="B207:U209"/>
    <mergeCell ref="A189:E193"/>
    <mergeCell ref="R189:V193"/>
    <mergeCell ref="A194:E195"/>
    <mergeCell ref="R194:V195"/>
    <mergeCell ref="F189:Q192"/>
    <mergeCell ref="F193:Q193"/>
    <mergeCell ref="F194:Q195"/>
    <mergeCell ref="B197:I198"/>
    <mergeCell ref="B199:R203"/>
    <mergeCell ref="B204:C206"/>
    <mergeCell ref="D204:N206"/>
    <mergeCell ref="O204:R206"/>
    <mergeCell ref="J163:K164"/>
    <mergeCell ref="L163:P164"/>
    <mergeCell ref="Q163:Q164"/>
    <mergeCell ref="B105:C106"/>
    <mergeCell ref="D105:E106"/>
    <mergeCell ref="G105:H106"/>
    <mergeCell ref="F105:F106"/>
    <mergeCell ref="I105:M106"/>
    <mergeCell ref="Y150:Y151"/>
    <mergeCell ref="Y152:Y153"/>
    <mergeCell ref="F146:Q146"/>
    <mergeCell ref="F147:Q148"/>
    <mergeCell ref="B150:H156"/>
    <mergeCell ref="I152:I153"/>
    <mergeCell ref="A142:E146"/>
    <mergeCell ref="R142:V146"/>
    <mergeCell ref="F142:Q145"/>
    <mergeCell ref="A147:E148"/>
    <mergeCell ref="R147:V148"/>
    <mergeCell ref="B136:R140"/>
    <mergeCell ref="V116:V118"/>
    <mergeCell ref="O122:P123"/>
    <mergeCell ref="O124:P125"/>
    <mergeCell ref="O126:P127"/>
    <mergeCell ref="O128:P129"/>
    <mergeCell ref="Q126:Q127"/>
    <mergeCell ref="Q124:Q125"/>
    <mergeCell ref="Q128:Q129"/>
    <mergeCell ref="R122:S123"/>
    <mergeCell ref="R124:S125"/>
    <mergeCell ref="R126:S127"/>
    <mergeCell ref="Q122:Q123"/>
    <mergeCell ref="R128:S129"/>
    <mergeCell ref="R132:S135"/>
    <mergeCell ref="T132:U135"/>
    <mergeCell ref="S137:S138"/>
    <mergeCell ref="T137:U138"/>
    <mergeCell ref="V137:V138"/>
    <mergeCell ref="B134:C135"/>
    <mergeCell ref="D134:H135"/>
    <mergeCell ref="I134:N135"/>
    <mergeCell ref="O132:P135"/>
    <mergeCell ref="Q132:Q135"/>
    <mergeCell ref="J150:K151"/>
    <mergeCell ref="J152:L153"/>
    <mergeCell ref="J154:L155"/>
    <mergeCell ref="M152:O153"/>
    <mergeCell ref="M154:O155"/>
    <mergeCell ref="P152:Q153"/>
    <mergeCell ref="P154:Q155"/>
    <mergeCell ref="L150:Q151"/>
    <mergeCell ref="R150:S151"/>
    <mergeCell ref="J166:K166"/>
    <mergeCell ref="J167:K167"/>
    <mergeCell ref="J168:K168"/>
    <mergeCell ref="J169:K169"/>
    <mergeCell ref="J170:K170"/>
    <mergeCell ref="J171:K171"/>
    <mergeCell ref="J172:K172"/>
    <mergeCell ref="J173:K173"/>
    <mergeCell ref="B169:C170"/>
    <mergeCell ref="D169:G170"/>
    <mergeCell ref="H169:H170"/>
    <mergeCell ref="B172:C173"/>
    <mergeCell ref="D172:F173"/>
    <mergeCell ref="G172:H173"/>
    <mergeCell ref="P168:Q168"/>
    <mergeCell ref="P169:Q169"/>
    <mergeCell ref="P170:Q170"/>
    <mergeCell ref="L171:M171"/>
    <mergeCell ref="L172:M172"/>
    <mergeCell ref="L173:M173"/>
    <mergeCell ref="N166:O166"/>
    <mergeCell ref="N167:O167"/>
    <mergeCell ref="N168:O168"/>
    <mergeCell ref="N169:O169"/>
    <mergeCell ref="N170:O170"/>
    <mergeCell ref="L166:M166"/>
    <mergeCell ref="L167:M167"/>
    <mergeCell ref="L168:M168"/>
    <mergeCell ref="L169:M169"/>
    <mergeCell ref="L170:M170"/>
    <mergeCell ref="B182:C183"/>
    <mergeCell ref="D182:K183"/>
    <mergeCell ref="L182:M183"/>
    <mergeCell ref="R176:S177"/>
    <mergeCell ref="R178:S179"/>
    <mergeCell ref="R180:S181"/>
    <mergeCell ref="R182:S183"/>
    <mergeCell ref="Q176:Q177"/>
    <mergeCell ref="Q178:Q179"/>
    <mergeCell ref="Q180:Q181"/>
    <mergeCell ref="Q182:Q183"/>
    <mergeCell ref="O176:P177"/>
    <mergeCell ref="O178:P179"/>
    <mergeCell ref="O180:P181"/>
    <mergeCell ref="O182:P183"/>
    <mergeCell ref="B178:N181"/>
    <mergeCell ref="B177:J177"/>
    <mergeCell ref="B175:J176"/>
    <mergeCell ref="R173:S173"/>
    <mergeCell ref="R174:S174"/>
    <mergeCell ref="B167:H168"/>
    <mergeCell ref="N171:O171"/>
    <mergeCell ref="N172:O172"/>
    <mergeCell ref="N173:O173"/>
    <mergeCell ref="O130:P131"/>
    <mergeCell ref="Q130:Q131"/>
    <mergeCell ref="R130:S131"/>
    <mergeCell ref="R171:S171"/>
    <mergeCell ref="R172:S172"/>
    <mergeCell ref="R166:S166"/>
    <mergeCell ref="R167:S167"/>
    <mergeCell ref="R168:S168"/>
    <mergeCell ref="R169:S169"/>
    <mergeCell ref="R170:S170"/>
    <mergeCell ref="P171:Q171"/>
    <mergeCell ref="P172:Q172"/>
    <mergeCell ref="P173:Q173"/>
    <mergeCell ref="I174:M174"/>
    <mergeCell ref="N174:O174"/>
    <mergeCell ref="P174:Q174"/>
    <mergeCell ref="P166:Q166"/>
    <mergeCell ref="P167:Q167"/>
  </mergeCells>
  <pageMargins left="0.25" right="0.25" top="0.75" bottom="0.75" header="0.3" footer="0.3"/>
  <pageSetup scale="93" orientation="portrait" r:id="rId1"/>
  <rowBreaks count="4" manualBreakCount="4">
    <brk id="47" max="21" man="1"/>
    <brk id="94" max="21" man="1"/>
    <brk id="141" max="21" man="1"/>
    <brk id="188" max="21" man="1"/>
  </rowBreaks>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Shell Plate Design </vt:lpstr>
      <vt:lpstr>Bottom &amp; Annular plate design</vt:lpstr>
      <vt:lpstr>Roof design</vt:lpstr>
      <vt:lpstr>roof design(2)</vt:lpstr>
      <vt:lpstr>Top Angle</vt:lpstr>
      <vt:lpstr>Top Angle &amp; Intermediate wind g</vt:lpstr>
      <vt:lpstr>Wind overturning stability</vt:lpstr>
      <vt:lpstr>Seismic design</vt:lpstr>
      <vt:lpstr>Seismic design2007</vt:lpstr>
      <vt:lpstr>Anchor Bolt</vt:lpstr>
      <vt:lpstr>Summary</vt:lpstr>
      <vt:lpstr>Anchorage ratio (J)</vt:lpstr>
      <vt:lpstr>'Anchor Bolt'!Print_Area</vt:lpstr>
      <vt:lpstr>'Anchorage ratio (J)'!Print_Area</vt:lpstr>
      <vt:lpstr>'Bottom &amp; Annular plate design'!Print_Area</vt:lpstr>
      <vt:lpstr>COVER!Print_Area</vt:lpstr>
      <vt:lpstr>'Seismic design'!Print_Area</vt:lpstr>
      <vt:lpstr>'Seismic design2007'!Print_Area</vt:lpstr>
      <vt:lpstr>'Shell Plate Design '!Print_Area</vt:lpstr>
      <vt:lpstr>Summary!Print_Area</vt:lpstr>
      <vt:lpstr>'Top Angle'!Print_Area</vt:lpstr>
      <vt:lpstr>'Top Angle &amp; Intermediate wind g'!Print_Area</vt:lpstr>
      <vt:lpstr>'Wind overturning stability'!Print_Area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2024-12-18T08:54:30Z</dcterms:modified>
</cp:coreProperties>
</file>